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bhuohien Ebewele\Desktop\IFR\"/>
    </mc:Choice>
  </mc:AlternateContent>
  <xr:revisionPtr revIDLastSave="0" documentId="13_ncr:1_{F84D8133-86D4-4C8F-8F58-72DB7F7FCFC7}" xr6:coauthVersionLast="45" xr6:coauthVersionMax="45" xr10:uidLastSave="{00000000-0000-0000-0000-000000000000}"/>
  <bookViews>
    <workbookView xWindow="-120" yWindow="-120" windowWidth="20730" windowHeight="11160" xr2:uid="{23FBFEEB-E270-45BA-9449-1E1E4D3FE147}"/>
  </bookViews>
  <sheets>
    <sheet name="Sources and Uses of funds " sheetId="1" r:id="rId1"/>
    <sheet name="Uses of Funds as per PIM" sheetId="2" r:id="rId2"/>
    <sheet name="EEP Statement " sheetId="3" r:id="rId3"/>
    <sheet name="DLI Statement "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1" l="1"/>
  <c r="D43" i="1" l="1"/>
  <c r="D41" i="1"/>
  <c r="D39" i="1"/>
  <c r="D37" i="1"/>
  <c r="D35" i="1"/>
  <c r="E23" i="2"/>
  <c r="E46" i="2"/>
  <c r="E62" i="2"/>
  <c r="E42" i="2"/>
  <c r="E49" i="2"/>
  <c r="E24" i="2"/>
  <c r="E77" i="2"/>
  <c r="E76" i="2"/>
  <c r="E75" i="2"/>
  <c r="E74" i="2"/>
  <c r="E73" i="2"/>
  <c r="E68" i="2"/>
  <c r="E67" i="2"/>
  <c r="E64" i="2"/>
  <c r="E57" i="2"/>
  <c r="E56" i="2"/>
  <c r="E52" i="2"/>
  <c r="E51" i="2"/>
  <c r="E50" i="2"/>
  <c r="E48" i="2"/>
  <c r="E45" i="2"/>
  <c r="E44" i="2"/>
  <c r="E34" i="2"/>
  <c r="E33" i="2"/>
  <c r="E32" i="2"/>
  <c r="E31" i="2"/>
  <c r="E30" i="2"/>
  <c r="E29" i="2"/>
  <c r="E28" i="2"/>
  <c r="E27" i="2"/>
  <c r="E22" i="2"/>
  <c r="C26" i="1" l="1"/>
  <c r="C28" i="1" l="1"/>
  <c r="D21" i="1" l="1"/>
  <c r="D19" i="1"/>
  <c r="D29" i="1" l="1"/>
  <c r="D28" i="1"/>
  <c r="D27" i="1"/>
  <c r="D26" i="1"/>
  <c r="D25" i="1"/>
  <c r="D21" i="3" l="1"/>
  <c r="D18" i="3"/>
  <c r="C21" i="3"/>
  <c r="C18" i="3"/>
  <c r="H25" i="4" l="1"/>
  <c r="H24" i="4"/>
  <c r="H23" i="4"/>
  <c r="H22" i="4"/>
  <c r="H21" i="4"/>
  <c r="H20" i="4"/>
  <c r="H19" i="4"/>
  <c r="H18" i="4"/>
  <c r="H17" i="4"/>
  <c r="H16" i="4"/>
  <c r="H15" i="4"/>
  <c r="H13" i="4"/>
  <c r="H12" i="4"/>
  <c r="H11" i="4"/>
  <c r="H10" i="4"/>
  <c r="H9" i="4"/>
  <c r="H8" i="4"/>
  <c r="B25" i="3"/>
  <c r="C25" i="3"/>
  <c r="D25" i="3"/>
  <c r="C78" i="2"/>
  <c r="C80" i="2" s="1"/>
  <c r="B78" i="2"/>
  <c r="F77" i="2"/>
  <c r="G77" i="2" s="1"/>
  <c r="D77" i="2"/>
  <c r="F76" i="2"/>
  <c r="G76" i="2" s="1"/>
  <c r="D76" i="2"/>
  <c r="F75" i="2"/>
  <c r="G75" i="2" s="1"/>
  <c r="D75" i="2"/>
  <c r="F74" i="2"/>
  <c r="G74" i="2" s="1"/>
  <c r="D74" i="2"/>
  <c r="F73" i="2"/>
  <c r="G73" i="2" s="1"/>
  <c r="E78" i="2"/>
  <c r="D73" i="2"/>
  <c r="F72" i="2"/>
  <c r="F78" i="2" s="1"/>
  <c r="D72" i="2"/>
  <c r="C69" i="2"/>
  <c r="F68" i="2"/>
  <c r="G68" i="2" s="1"/>
  <c r="D68" i="2"/>
  <c r="F67" i="2"/>
  <c r="G67" i="2" s="1"/>
  <c r="D67" i="2"/>
  <c r="F66" i="2"/>
  <c r="G66" i="2" s="1"/>
  <c r="E66" i="2"/>
  <c r="D66" i="2"/>
  <c r="F65" i="2"/>
  <c r="G65" i="2" s="1"/>
  <c r="E65" i="2"/>
  <c r="D65" i="2"/>
  <c r="F64" i="2"/>
  <c r="G64" i="2" s="1"/>
  <c r="E69" i="2"/>
  <c r="B69" i="2"/>
  <c r="F63" i="2"/>
  <c r="G63" i="2" s="1"/>
  <c r="E63" i="2"/>
  <c r="D63" i="2"/>
  <c r="F62" i="2"/>
  <c r="G62" i="2" s="1"/>
  <c r="D62" i="2"/>
  <c r="F61" i="2"/>
  <c r="F69" i="2" s="1"/>
  <c r="D61" i="2"/>
  <c r="C58" i="2"/>
  <c r="B58" i="2"/>
  <c r="F57" i="2"/>
  <c r="G57" i="2" s="1"/>
  <c r="D57" i="2"/>
  <c r="F56" i="2"/>
  <c r="F58" i="2" s="1"/>
  <c r="E58" i="2"/>
  <c r="D56" i="2"/>
  <c r="C53" i="2"/>
  <c r="F52" i="2"/>
  <c r="G52" i="2" s="1"/>
  <c r="D52" i="2"/>
  <c r="F51" i="2"/>
  <c r="F50" i="2"/>
  <c r="G50" i="2"/>
  <c r="F49" i="2"/>
  <c r="D49" i="2"/>
  <c r="F48" i="2"/>
  <c r="G48" i="2" s="1"/>
  <c r="D48" i="2"/>
  <c r="F47" i="2"/>
  <c r="G47" i="2" s="1"/>
  <c r="E47" i="2"/>
  <c r="D47" i="2"/>
  <c r="F46" i="2"/>
  <c r="D46" i="2"/>
  <c r="F45" i="2"/>
  <c r="G45" i="2" s="1"/>
  <c r="D45" i="2"/>
  <c r="F44" i="2"/>
  <c r="G44" i="2" s="1"/>
  <c r="E53" i="2"/>
  <c r="B53" i="2"/>
  <c r="F43" i="2"/>
  <c r="G43" i="2" s="1"/>
  <c r="D43" i="2"/>
  <c r="F42" i="2"/>
  <c r="G42" i="2" s="1"/>
  <c r="D42" i="2"/>
  <c r="F41" i="2"/>
  <c r="G41" i="2" s="1"/>
  <c r="D41" i="2"/>
  <c r="G40" i="2"/>
  <c r="F40" i="2"/>
  <c r="D40" i="2"/>
  <c r="F39" i="2"/>
  <c r="F53" i="2" s="1"/>
  <c r="D39" i="2"/>
  <c r="C36" i="2"/>
  <c r="F35" i="2"/>
  <c r="F34" i="2"/>
  <c r="G34" i="2" s="1"/>
  <c r="D34" i="2"/>
  <c r="F33" i="2"/>
  <c r="G33" i="2" s="1"/>
  <c r="D33" i="2"/>
  <c r="F32" i="2"/>
  <c r="G32" i="2" s="1"/>
  <c r="D32" i="2"/>
  <c r="F31" i="2"/>
  <c r="F30" i="2"/>
  <c r="G30" i="2"/>
  <c r="F29" i="2"/>
  <c r="G29" i="2" s="1"/>
  <c r="D29" i="2"/>
  <c r="B36" i="2"/>
  <c r="F28" i="2"/>
  <c r="G28" i="2" s="1"/>
  <c r="D28" i="2"/>
  <c r="F27" i="2"/>
  <c r="G27" i="2" s="1"/>
  <c r="D27" i="2"/>
  <c r="F26" i="2"/>
  <c r="G26" i="2" s="1"/>
  <c r="E26" i="2"/>
  <c r="D26" i="2"/>
  <c r="F25" i="2"/>
  <c r="F36" i="2" s="1"/>
  <c r="F80" i="2" s="1"/>
  <c r="E25" i="2"/>
  <c r="D25" i="2"/>
  <c r="D24" i="2"/>
  <c r="G23" i="2"/>
  <c r="F23" i="2"/>
  <c r="D23" i="2"/>
  <c r="G22" i="2"/>
  <c r="F22" i="2"/>
  <c r="D22" i="2"/>
  <c r="D22" i="1"/>
  <c r="D31" i="1" s="1"/>
  <c r="C22" i="1"/>
  <c r="C31" i="1" s="1"/>
  <c r="D36" i="1"/>
  <c r="D38" i="1"/>
  <c r="D44" i="1" s="1"/>
  <c r="D40" i="1"/>
  <c r="C44" i="1"/>
  <c r="D46" i="1"/>
  <c r="D47" i="1"/>
  <c r="C48" i="1"/>
  <c r="D48" i="1"/>
  <c r="G60" i="1"/>
  <c r="G46" i="2" l="1"/>
  <c r="G49" i="2"/>
  <c r="G31" i="2"/>
  <c r="G51" i="2"/>
  <c r="B80" i="2"/>
  <c r="E36" i="2"/>
  <c r="E80" i="2" s="1"/>
  <c r="D30" i="2"/>
  <c r="G39" i="2"/>
  <c r="D50" i="2"/>
  <c r="G72" i="2"/>
  <c r="G25" i="2"/>
  <c r="D31" i="2"/>
  <c r="D51" i="2"/>
  <c r="G61" i="2"/>
  <c r="D44" i="2"/>
  <c r="G56" i="2"/>
  <c r="D64" i="2"/>
</calcChain>
</file>

<file path=xl/sharedStrings.xml><?xml version="1.0" encoding="utf-8"?>
<sst xmlns="http://schemas.openxmlformats.org/spreadsheetml/2006/main" count="216" uniqueCount="163">
  <si>
    <t xml:space="preserve">  </t>
  </si>
  <si>
    <t>Total Closing Cash Balance</t>
  </si>
  <si>
    <t>World Bank IDA Funds</t>
  </si>
  <si>
    <t>Closing Balances</t>
  </si>
  <si>
    <t>Total Uses of Funds By Components</t>
  </si>
  <si>
    <t>Enhance Governance And Management Of Ace And The Participating University</t>
  </si>
  <si>
    <t>Build And Strengthen Regional And International Academic Partnership</t>
  </si>
  <si>
    <t>Build/Use Industry/Sector Partnership To Impact Of Ace On Development And Increased Relevance Of Centre Education And Research</t>
  </si>
  <si>
    <t>Enhanced Capacity To Deliver Applied Research To Address Regional Development Challenges</t>
  </si>
  <si>
    <t>Enhanced Capacity To Deliver Regional High Quality Training</t>
  </si>
  <si>
    <t>Less:  ACE Expenditure as per Project Implementation Plan</t>
  </si>
  <si>
    <t>Total Financing</t>
  </si>
  <si>
    <t>Tender Fees</t>
  </si>
  <si>
    <t>IGR</t>
  </si>
  <si>
    <t>Student Fees</t>
  </si>
  <si>
    <t>Refund</t>
  </si>
  <si>
    <t>Add Receipts</t>
  </si>
  <si>
    <t>Total</t>
  </si>
  <si>
    <t xml:space="preserve">Student Fees USD </t>
  </si>
  <si>
    <t>Student Fees Naira</t>
  </si>
  <si>
    <t>Government Funds</t>
  </si>
  <si>
    <t>Opening Cash Balance</t>
  </si>
  <si>
    <t>Financial Year End (Jan-Dec, 2019)</t>
  </si>
  <si>
    <t>Sources of Fund</t>
  </si>
  <si>
    <t xml:space="preserve">Cummulative for  </t>
  </si>
  <si>
    <t>Statement of Sources and Uses of Funds</t>
  </si>
  <si>
    <t xml:space="preserve">AFRICA HIGHER EDUCATION CENTERS OF EXCELLENCE PROJECT </t>
  </si>
  <si>
    <t>CENTRE OF EXCELLENCE IN REPRODUCTIVE HEALTH INNOVATION, UNIVERSITY OF BENIN</t>
  </si>
  <si>
    <t>CENTRE OF EXCELLENCE IN REPRODUCTIVE HEALTH INNOVATION, UNIVERSITY OF BENIN.</t>
  </si>
  <si>
    <t>AFRICA HIGHER EDUCATION CENTERS OF EXCELLENCE PROJECT</t>
  </si>
  <si>
    <t>Uses of Funds by project activities</t>
  </si>
  <si>
    <t>(NAIRA)</t>
  </si>
  <si>
    <t>Expenditure</t>
  </si>
  <si>
    <t>Cummulative for</t>
  </si>
  <si>
    <t>Explanation of</t>
  </si>
  <si>
    <t xml:space="preserve">PAD /Life of </t>
  </si>
  <si>
    <t>Revised</t>
  </si>
  <si>
    <t>Financial Year End</t>
  </si>
  <si>
    <t>Variance</t>
  </si>
  <si>
    <t>Project</t>
  </si>
  <si>
    <t>PAD</t>
  </si>
  <si>
    <t>Actual</t>
  </si>
  <si>
    <t>Planned</t>
  </si>
  <si>
    <t>Expenditure Classification 1 as per Project Implementation Plan</t>
  </si>
  <si>
    <t>Administrative Salaries</t>
  </si>
  <si>
    <t>Positive variance.Actual expenditure less than budgeted</t>
  </si>
  <si>
    <t>Junior Staff Salaries</t>
  </si>
  <si>
    <t>Funds Unutilised</t>
  </si>
  <si>
    <t>Visiting Lecturers Salaries</t>
  </si>
  <si>
    <t>Negative variance. No budget for item</t>
  </si>
  <si>
    <t>Vehicle</t>
  </si>
  <si>
    <t>Website Development</t>
  </si>
  <si>
    <t>Laboratory and Teaching Equipment</t>
  </si>
  <si>
    <t>Transport and Travelling</t>
  </si>
  <si>
    <t>Fuel Charges (Diesel, Petrol)</t>
  </si>
  <si>
    <t>Guest Feeding and other charges</t>
  </si>
  <si>
    <t>Entertainment and Hospitality</t>
  </si>
  <si>
    <t>Communication and Postage Charges</t>
  </si>
  <si>
    <t>Professional Conferences/Workshop (Local)</t>
  </si>
  <si>
    <t>Vehicle Maintenance</t>
  </si>
  <si>
    <t>Vehicle License and Insurance</t>
  </si>
  <si>
    <t>Sub Total</t>
  </si>
  <si>
    <t>Expenditure Classification 2 as per Project Implementation Plan</t>
  </si>
  <si>
    <t>Books, Journals, World Health Magazines, Etc.</t>
  </si>
  <si>
    <t>No budget for item</t>
  </si>
  <si>
    <t>Computer and Office Equipment</t>
  </si>
  <si>
    <t>Generator 100kva</t>
  </si>
  <si>
    <t>Civil Works ( CERHI Building Complex)</t>
  </si>
  <si>
    <t>Civil Works ( Renovation of Hostel and Guest House)</t>
  </si>
  <si>
    <t>Printing andStationeries</t>
  </si>
  <si>
    <t>Consumables</t>
  </si>
  <si>
    <t>Professional Associations and Journal Subscription fees</t>
  </si>
  <si>
    <t>NHIS Charges for Students and CERHI Staff.</t>
  </si>
  <si>
    <t>Internet Subscription and IT Maintenance/Support</t>
  </si>
  <si>
    <t>Laboratory Practice and Consumables</t>
  </si>
  <si>
    <t>Advert and Interviews Expenses</t>
  </si>
  <si>
    <t>Professional Conferences /Workshop (Overseas)</t>
  </si>
  <si>
    <t>Miscelaneous and Sundry Expenses</t>
  </si>
  <si>
    <t>Expenditure Classification 3 as per Project Implementation Plan</t>
  </si>
  <si>
    <t>Facility and infrastructure maintenance</t>
  </si>
  <si>
    <t>Office equipment repairs</t>
  </si>
  <si>
    <t>Expenditure Classification 4 as per Project Implementation Plan</t>
  </si>
  <si>
    <t>Furniture &amp; Fittings</t>
  </si>
  <si>
    <t>No budget for  item</t>
  </si>
  <si>
    <t>Electrical Electronics Equipment</t>
  </si>
  <si>
    <t>Curriculum Workshop</t>
  </si>
  <si>
    <t>Students Scholarship/ Internship</t>
  </si>
  <si>
    <t>Students Prizes and Awards</t>
  </si>
  <si>
    <t>Electricity Bill</t>
  </si>
  <si>
    <t>Consultancy</t>
  </si>
  <si>
    <t>Teaching and Examination</t>
  </si>
  <si>
    <t>.</t>
  </si>
  <si>
    <t>Expenditure Classification 5 as per Project Implementation Plan</t>
  </si>
  <si>
    <t>Accounting Information System Software</t>
  </si>
  <si>
    <t xml:space="preserve">No budget for item. </t>
  </si>
  <si>
    <t>Research Expenses</t>
  </si>
  <si>
    <t>Accreditation</t>
  </si>
  <si>
    <t>Staff Training</t>
  </si>
  <si>
    <t>Bank Charges</t>
  </si>
  <si>
    <t>Audit fees</t>
  </si>
  <si>
    <t xml:space="preserve">Grand Total Uses of Funds </t>
  </si>
  <si>
    <t>Work on the PAD/Life of project for the period</t>
  </si>
  <si>
    <t>Grand total of the funds</t>
  </si>
  <si>
    <t>AFRICA HIGHER EDUCATION CENTERS OF EXCELLENCE PROJECT (126974)</t>
  </si>
  <si>
    <t xml:space="preserve">Statement of Reimbursable Eligible Expenditure Programs (EEPs) </t>
  </si>
  <si>
    <t>Eligible Expenditure Program (EEP)</t>
  </si>
  <si>
    <t>EEP 1: Salaries</t>
  </si>
  <si>
    <t>EEP 2: Non Procurable Expenditure as defined in Financing Agreement</t>
  </si>
  <si>
    <t>Total EEPs</t>
  </si>
  <si>
    <t xml:space="preserve">Work on cummulative for the life of  project for each Centre </t>
  </si>
  <si>
    <t>CENTRE OF EXCELLENCE IN REPRODCUTIVE HEALTH INNOVATION, UNIVERSITY OF BENIN.</t>
  </si>
  <si>
    <t>NOTES ANNEX</t>
  </si>
  <si>
    <t>DISBURSEMENT LINKED TO INDICATORS</t>
  </si>
  <si>
    <t>ACTIONS TO BE COMPLETED</t>
  </si>
  <si>
    <t>STATUS OF ACTIONS COMPLETION</t>
  </si>
  <si>
    <t>AMOUNT ALLOCATED</t>
  </si>
  <si>
    <t>AMOUNT DISBURSED</t>
  </si>
  <si>
    <t>UNDISBURSED BALANCE</t>
  </si>
  <si>
    <t>DLI 1: Regional Specialization endorsed and institutional readiness</t>
  </si>
  <si>
    <t xml:space="preserve">The national representative in the Steering Committee has endorsed a resolution to promote regional specialization  among participating Universities Conditions for Effectiveness have been met </t>
  </si>
  <si>
    <t>Achieved (100%)</t>
  </si>
  <si>
    <t>DLI 2: Excellence in Education and Research capacity and development impact</t>
  </si>
  <si>
    <t xml:space="preserve">DLI 2.1: New short term students in ACE courses of which 30% must be regional students (97 Regional) </t>
  </si>
  <si>
    <t>CERHI's has achieved her 4 Year target as at April 2018 with 507 regional students</t>
  </si>
  <si>
    <t xml:space="preserve">DLI 2.2: New Masters students in ACE courses of which 30% must be regional students (Regional Masters - 7)  </t>
  </si>
  <si>
    <t>11 regional students are currently on CERHI Program</t>
  </si>
  <si>
    <t>DLI 2.3: New PhD students in ACE courses of which 30% must be regional students (Regional PhD-5)</t>
  </si>
  <si>
    <t>Achieved (100%) 5 students</t>
  </si>
  <si>
    <t>DLI 2.4:  No of outreach "periods" for faculty, master and Phd students (90 students and 10 Faculty)</t>
  </si>
  <si>
    <t>64 Students (71%)</t>
  </si>
  <si>
    <t>DLI 2.5: Certification and evaluation of quality of education of programs (2 programs)</t>
  </si>
  <si>
    <t>At Institutional Accreditation stage. Self Evalution submitted for Agency for Health Education on Accreditation (APHEA) 50%</t>
  </si>
  <si>
    <t>Achieved Accreditation of  the 9 Courses (100%)</t>
  </si>
  <si>
    <t xml:space="preserve">DLI 2.6: Published articles in internationally recognised and peer reviewed journals (8 publications) </t>
  </si>
  <si>
    <t>96 publications (1,200%)</t>
  </si>
  <si>
    <t>DLI 2.7: Externally Revenue Generation (Target $100,000)</t>
  </si>
  <si>
    <t>$185,497.38 Generated (185%)</t>
  </si>
  <si>
    <t xml:space="preserve">DLI 2.8: Meeting milestones for improved learning and research environment specified in the performance and funding contracts </t>
  </si>
  <si>
    <t>DLI 2.8.1: Begin building CERHI Center complex structure and upgrading of classroom by installation of modern classroom furniture and facilities.  Completed (100%) and verified as at April, 2018.</t>
  </si>
  <si>
    <t>DLI 2.8.2: Completion of building for CERHI Center, purchase and installation of furniture in the CERHI Complex with e-learning platform, video-conferencing, furnishing for offices, seminar rooms and library. Completed (100%) and verfied as at April, 2018.</t>
  </si>
  <si>
    <t>DLI 2.8.3: Purchase and installation of CERHI complex generator and laboratory equipment . Completed (100%) and verified as ar April, 2018.</t>
  </si>
  <si>
    <t xml:space="preserve">DLI 2.8.4: 100% Completion of renovation of international student hostel and faculty guest house and purchase and installation of furniture and generator for the International student hostel and faculty guest house to meet international standards. Completed (100%) and verified as at September, 2018. </t>
  </si>
  <si>
    <t xml:space="preserve">DLI 3.1: Timely, transparent financial management. </t>
  </si>
  <si>
    <t>DLI 3.1: Timely withdrawal application</t>
  </si>
  <si>
    <t>Achieved and verified as at  Sept., 2018 (100%)</t>
  </si>
  <si>
    <t>DLI 3.2: Functioning audit committee under the University Council</t>
  </si>
  <si>
    <t>DLI 3.3: Functioning University Internal Audit Unit</t>
  </si>
  <si>
    <t>DLI 3.4: Web transparency financial management</t>
  </si>
  <si>
    <t>DLI 4: Timely and audited Procurement</t>
  </si>
  <si>
    <t xml:space="preserve"> DLI 4.1: Timely Procurement audit</t>
  </si>
  <si>
    <t xml:space="preserve">Achieved </t>
  </si>
  <si>
    <t>Work on amount undisbursed</t>
  </si>
  <si>
    <t>for the Semi Annual Period ending December 2019</t>
  </si>
  <si>
    <t>Semi Annual Period ending December 2019 (N)</t>
  </si>
  <si>
    <t>Financial Year End (Jan-December 2019) (N)</t>
  </si>
  <si>
    <t>PAD/Life of Project (Jul 2015-December 2019) (N)</t>
  </si>
  <si>
    <t>for the Semi Annual Period ending December, 2019</t>
  </si>
  <si>
    <t>Semi Annual Period ending December 2019</t>
  </si>
  <si>
    <t xml:space="preserve"> Semi Annual Period ending 31/12/ 2019</t>
  </si>
  <si>
    <t>For the Semi Annual Period ending December, 2019.</t>
  </si>
  <si>
    <t>Negative variance.Actual expenditure more than budgeted</t>
  </si>
  <si>
    <t xml:space="preserve"> USD($269,081.19 @NGN 307  to $1)</t>
  </si>
  <si>
    <t>Other Incomes ($2,463.12 @ NGN307 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</si>
</sst>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00_);_(* \(#,##0.00\);_(* &quot;-&quot;??_);_(@_)"/>
    <numFmt numFmtId="165" formatCode="_(* #,##0.00_);_(* \(#,##0.00\);_(* \-??_);_(@_)"/>
    <numFmt numFmtId="166" formatCode="_-* #,##0.00_-;\-* #,##0.00_-;_-* \-??_-;_-@_-"/>
    <numFmt numFmtId="167" formatCode="#,##0.000"/>
    <numFmt numFmtId="168" formatCode="* #,##0.00\ ;* \(#,##0.00\);* \-#\ ;@\ "/>
  </numFmts>
  <fonts count="32">
    <font>
      <sz val="10"/>
      <name val="Arial"/>
      <charset val="1"/>
    </font>
    <font>
      <sz val="11"/>
      <color theme="1"/>
      <name val="Calibri"/>
      <family val="2"/>
      <scheme val="minor"/>
    </font>
    <font>
      <sz val="11"/>
      <name val="Arial"/>
      <family val="2"/>
      <charset val="1"/>
    </font>
    <font>
      <sz val="10"/>
      <name val="Arial"/>
      <family val="2"/>
    </font>
    <font>
      <b/>
      <sz val="11"/>
      <name val="Arial"/>
      <family val="2"/>
      <charset val="1"/>
    </font>
    <font>
      <sz val="10"/>
      <name val="Arial"/>
      <family val="2"/>
      <charset val="1"/>
    </font>
    <font>
      <b/>
      <sz val="11"/>
      <name val="Arial"/>
      <family val="2"/>
    </font>
    <font>
      <b/>
      <sz val="10"/>
      <name val="Arial"/>
      <family val="2"/>
      <charset val="1"/>
    </font>
    <font>
      <sz val="11"/>
      <name val="Arial"/>
      <family val="2"/>
    </font>
    <font>
      <sz val="12"/>
      <name val="Calibri"/>
      <family val="2"/>
      <charset val="1"/>
    </font>
    <font>
      <b/>
      <sz val="12"/>
      <color rgb="FF000000"/>
      <name val="Calibri"/>
      <family val="2"/>
      <charset val="1"/>
    </font>
    <font>
      <sz val="10"/>
      <color rgb="FFFF0000"/>
      <name val="Arial"/>
      <family val="2"/>
      <charset val="1"/>
    </font>
    <font>
      <sz val="10"/>
      <color rgb="FF000000"/>
      <name val="Arial"/>
      <family val="2"/>
      <charset val="1"/>
    </font>
    <font>
      <sz val="11"/>
      <color rgb="FF000000"/>
      <name val="Calibril"/>
      <charset val="1"/>
    </font>
    <font>
      <b/>
      <sz val="11"/>
      <color rgb="FF000000"/>
      <name val="Calibri"/>
      <family val="2"/>
      <charset val="1"/>
    </font>
    <font>
      <sz val="10"/>
      <color rgb="FFFF0000"/>
      <name val="Arial"/>
      <family val="2"/>
    </font>
    <font>
      <b/>
      <sz val="12"/>
      <name val="Arial"/>
      <family val="2"/>
      <charset val="1"/>
    </font>
    <font>
      <u/>
      <sz val="10"/>
      <name val="Arial"/>
      <family val="2"/>
      <charset val="1"/>
    </font>
    <font>
      <sz val="11"/>
      <color rgb="FF000000"/>
      <name val="Calibri"/>
      <family val="2"/>
      <charset val="1"/>
    </font>
    <font>
      <sz val="10"/>
      <color rgb="FF000000"/>
      <name val="Arial"/>
      <family val="2"/>
    </font>
    <font>
      <sz val="10"/>
      <color rgb="FF92D050"/>
      <name val="Arial"/>
      <family val="2"/>
      <charset val="1"/>
    </font>
    <font>
      <sz val="11"/>
      <color rgb="FF92D050"/>
      <name val="Calibri"/>
      <family val="2"/>
      <charset val="1"/>
    </font>
    <font>
      <sz val="11"/>
      <name val="Times New Roman"/>
      <family val="1"/>
      <charset val="1"/>
    </font>
    <font>
      <sz val="11"/>
      <color rgb="FF000000"/>
      <name val="Times New Roman"/>
      <family val="1"/>
      <charset val="1"/>
    </font>
    <font>
      <sz val="12"/>
      <color rgb="FF000000"/>
      <name val="Calibri"/>
      <family val="2"/>
      <charset val="1"/>
    </font>
    <font>
      <b/>
      <sz val="10"/>
      <name val="Arial"/>
      <family val="2"/>
    </font>
    <font>
      <sz val="12"/>
      <color rgb="FF000000"/>
      <name val="Times New Roman"/>
      <family val="1"/>
      <charset val="1"/>
    </font>
    <font>
      <b/>
      <sz val="10"/>
      <color theme="9" tint="-0.249977111117893"/>
      <name val="Arial"/>
      <family val="2"/>
    </font>
    <font>
      <b/>
      <sz val="10"/>
      <color rgb="FF008000"/>
      <name val="Arial"/>
      <family val="2"/>
      <charset val="1"/>
    </font>
    <font>
      <b/>
      <sz val="12"/>
      <name val="Arial"/>
      <family val="2"/>
    </font>
    <font>
      <b/>
      <sz val="9"/>
      <name val="Arial"/>
      <family val="2"/>
    </font>
    <font>
      <sz val="11"/>
      <name val="Calibri"/>
      <family val="2"/>
    </font>
  </fonts>
  <fills count="6">
    <fill>
      <patternFill patternType="none"/>
    </fill>
    <fill>
      <patternFill patternType="gray125"/>
    </fill>
    <fill>
      <patternFill patternType="solid">
        <fgColor rgb="FF993366"/>
        <bgColor rgb="FF993366"/>
      </patternFill>
    </fill>
    <fill>
      <patternFill patternType="solid">
        <fgColor theme="0"/>
        <bgColor indexed="64"/>
      </patternFill>
    </fill>
    <fill>
      <patternFill patternType="solid">
        <fgColor indexed="61"/>
        <bgColor indexed="64"/>
      </patternFill>
    </fill>
    <fill>
      <patternFill patternType="solid">
        <fgColor rgb="FFFFFF00"/>
        <bgColor indexed="64"/>
      </patternFill>
    </fill>
  </fills>
  <borders count="79">
    <border>
      <left/>
      <right/>
      <top/>
      <bottom/>
      <diagonal/>
    </border>
    <border>
      <left/>
      <right style="medium">
        <color auto="1"/>
      </right>
      <top/>
      <bottom style="medium">
        <color auto="1"/>
      </bottom>
      <diagonal/>
    </border>
    <border>
      <left/>
      <right style="thin">
        <color rgb="FF333333"/>
      </right>
      <top/>
      <bottom style="medium">
        <color auto="1"/>
      </bottom>
      <diagonal/>
    </border>
    <border>
      <left style="medium">
        <color auto="1"/>
      </left>
      <right/>
      <top/>
      <bottom style="medium">
        <color auto="1"/>
      </bottom>
      <diagonal/>
    </border>
    <border>
      <left/>
      <right style="medium">
        <color auto="1"/>
      </right>
      <top/>
      <bottom/>
      <diagonal/>
    </border>
    <border>
      <left/>
      <right style="thin">
        <color rgb="FF333333"/>
      </right>
      <top/>
      <bottom/>
      <diagonal/>
    </border>
    <border>
      <left style="medium">
        <color auto="1"/>
      </left>
      <right/>
      <top/>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medium">
        <color rgb="FF333333"/>
      </bottom>
      <diagonal/>
    </border>
    <border>
      <left style="medium">
        <color auto="1"/>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bottom style="thin">
        <color auto="1"/>
      </bottom>
      <diagonal/>
    </border>
    <border>
      <left style="medium">
        <color auto="1"/>
      </left>
      <right/>
      <top style="thin">
        <color rgb="FF333333"/>
      </top>
      <bottom/>
      <diagonal/>
    </border>
    <border>
      <left style="medium">
        <color indexed="64"/>
      </left>
      <right style="medium">
        <color indexed="64"/>
      </right>
      <top/>
      <bottom style="thin">
        <color auto="1"/>
      </bottom>
      <diagonal/>
    </border>
    <border>
      <left style="thin">
        <color rgb="FF333333"/>
      </left>
      <right/>
      <top/>
      <bottom/>
      <diagonal/>
    </border>
    <border>
      <left style="medium">
        <color auto="1"/>
      </left>
      <right/>
      <top/>
      <bottom style="medium">
        <color rgb="FF333333"/>
      </bottom>
      <diagonal/>
    </border>
    <border>
      <left style="thin">
        <color rgb="FF333333"/>
      </left>
      <right style="medium">
        <color auto="1"/>
      </right>
      <top style="medium">
        <color rgb="FF333333"/>
      </top>
      <bottom/>
      <diagonal/>
    </border>
    <border>
      <left style="thin">
        <color rgb="FF333333"/>
      </left>
      <right/>
      <top style="medium">
        <color rgb="FF333333"/>
      </top>
      <bottom/>
      <diagonal/>
    </border>
    <border>
      <left style="thin">
        <color rgb="FF333333"/>
      </left>
      <right style="medium">
        <color auto="1"/>
      </right>
      <top style="thin">
        <color rgb="FF333333"/>
      </top>
      <bottom/>
      <diagonal/>
    </border>
    <border>
      <left/>
      <right style="thin">
        <color rgb="FF333333"/>
      </right>
      <top style="thin">
        <color rgb="FF333333"/>
      </top>
      <bottom style="thin">
        <color rgb="FF333333"/>
      </bottom>
      <diagonal/>
    </border>
    <border>
      <left style="medium">
        <color auto="1"/>
      </left>
      <right/>
      <top style="thin">
        <color auto="1"/>
      </top>
      <bottom style="thin">
        <color auto="1"/>
      </bottom>
      <diagonal/>
    </border>
    <border>
      <left style="thin">
        <color rgb="FF333333"/>
      </left>
      <right style="medium">
        <color auto="1"/>
      </right>
      <top/>
      <bottom style="thin">
        <color indexed="64"/>
      </bottom>
      <diagonal/>
    </border>
    <border>
      <left style="thin">
        <color rgb="FF333333"/>
      </left>
      <right/>
      <top/>
      <bottom style="thin">
        <color indexed="64"/>
      </bottom>
      <diagonal/>
    </border>
    <border>
      <left style="thin">
        <color rgb="FF333333"/>
      </left>
      <right style="medium">
        <color auto="1"/>
      </right>
      <top/>
      <bottom/>
      <diagonal/>
    </border>
    <border>
      <left style="thin">
        <color rgb="FF333333"/>
      </left>
      <right/>
      <top style="thin">
        <color rgb="FF333333"/>
      </top>
      <bottom/>
      <diagonal/>
    </border>
    <border>
      <left style="medium">
        <color auto="1"/>
      </left>
      <right style="medium">
        <color auto="1"/>
      </right>
      <top/>
      <bottom style="thin">
        <color rgb="FF333333"/>
      </bottom>
      <diagonal/>
    </border>
    <border>
      <left style="medium">
        <color auto="1"/>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bottom style="medium">
        <color rgb="FF333333"/>
      </bottom>
      <diagonal/>
    </border>
    <border>
      <left/>
      <right/>
      <top style="thin">
        <color rgb="FF333333"/>
      </top>
      <bottom/>
      <diagonal/>
    </border>
    <border>
      <left/>
      <right style="thin">
        <color rgb="FF333333"/>
      </right>
      <top style="thin">
        <color rgb="FF333333"/>
      </top>
      <bottom/>
      <diagonal/>
    </border>
    <border>
      <left style="thin">
        <color rgb="FF333333"/>
      </left>
      <right style="thin">
        <color rgb="FF333333"/>
      </right>
      <top/>
      <bottom/>
      <diagonal/>
    </border>
    <border>
      <left/>
      <right/>
      <top/>
      <bottom style="thin">
        <color rgb="FF333333"/>
      </bottom>
      <diagonal/>
    </border>
    <border>
      <left/>
      <right style="thin">
        <color rgb="FF333333"/>
      </right>
      <top/>
      <bottom style="thin">
        <color rgb="FF333333"/>
      </bottom>
      <diagonal/>
    </border>
    <border>
      <left style="thin">
        <color rgb="FF333333"/>
      </left>
      <right/>
      <top/>
      <bottom style="thin">
        <color rgb="FF333333"/>
      </bottom>
      <diagonal/>
    </border>
    <border>
      <left style="thin">
        <color rgb="FF333333"/>
      </left>
      <right style="thin">
        <color rgb="FF333333"/>
      </right>
      <top/>
      <bottom style="thin">
        <color rgb="FF333333"/>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333333"/>
      </left>
      <right/>
      <top style="medium">
        <color rgb="FF333333"/>
      </top>
      <bottom style="medium">
        <color rgb="FF333333"/>
      </bottom>
      <diagonal/>
    </border>
    <border>
      <left style="medium">
        <color indexed="64"/>
      </left>
      <right style="thin">
        <color auto="1"/>
      </right>
      <top style="medium">
        <color indexed="64"/>
      </top>
      <bottom style="medium">
        <color indexed="64"/>
      </bottom>
      <diagonal/>
    </border>
    <border>
      <left/>
      <right style="thin">
        <color rgb="FF333333"/>
      </right>
      <top style="medium">
        <color indexed="64"/>
      </top>
      <bottom style="medium">
        <color indexed="64"/>
      </bottom>
      <diagonal/>
    </border>
    <border>
      <left style="thin">
        <color rgb="FF333333"/>
      </left>
      <right style="thin">
        <color rgb="FF333333"/>
      </right>
      <top style="medium">
        <color indexed="64"/>
      </top>
      <bottom style="medium">
        <color indexed="64"/>
      </bottom>
      <diagonal/>
    </border>
    <border>
      <left style="thin">
        <color rgb="FF333333"/>
      </left>
      <right style="medium">
        <color indexed="64"/>
      </right>
      <top style="medium">
        <color indexed="64"/>
      </top>
      <bottom style="medium">
        <color indexed="64"/>
      </bottom>
      <diagonal/>
    </border>
    <border>
      <left/>
      <right style="thin">
        <color rgb="FF333333"/>
      </right>
      <top style="medium">
        <color rgb="FF333333"/>
      </top>
      <bottom style="medium">
        <color rgb="FF333333"/>
      </bottom>
      <diagonal/>
    </border>
    <border>
      <left style="thin">
        <color rgb="FF333333"/>
      </left>
      <right/>
      <top style="medium">
        <color rgb="FF333333"/>
      </top>
      <bottom style="medium">
        <color rgb="FF333333"/>
      </bottom>
      <diagonal/>
    </border>
    <border>
      <left style="thin">
        <color rgb="FF333333"/>
      </left>
      <right style="medium">
        <color rgb="FF333333"/>
      </right>
      <top style="medium">
        <color rgb="FF333333"/>
      </top>
      <bottom style="medium">
        <color rgb="FF333333"/>
      </bottom>
      <diagonal/>
    </border>
    <border>
      <left style="thin">
        <color rgb="FF333333"/>
      </left>
      <right style="thin">
        <color rgb="FF333333"/>
      </right>
      <top style="thin">
        <color rgb="FF333333"/>
      </top>
      <bottom style="thin">
        <color rgb="FF333333"/>
      </bottom>
      <diagonal/>
    </border>
    <border>
      <left style="thin">
        <color rgb="FF333333"/>
      </left>
      <right style="thin">
        <color rgb="FF333333"/>
      </right>
      <top style="thin">
        <color rgb="FF333333"/>
      </top>
      <bottom/>
      <diagonal/>
    </border>
    <border>
      <left style="thin">
        <color rgb="FF333333"/>
      </left>
      <right style="thin">
        <color rgb="FF333333"/>
      </right>
      <top style="medium">
        <color rgb="FF333333"/>
      </top>
      <bottom style="medium">
        <color rgb="FF333333"/>
      </bottom>
      <diagonal/>
    </border>
    <border>
      <left style="thin">
        <color auto="1"/>
      </left>
      <right style="thin">
        <color auto="1"/>
      </right>
      <top/>
      <bottom style="thin">
        <color auto="1"/>
      </bottom>
      <diagonal/>
    </border>
    <border>
      <left style="medium">
        <color rgb="FF333333"/>
      </left>
      <right/>
      <top/>
      <bottom style="medium">
        <color rgb="FF333333"/>
      </bottom>
      <diagonal/>
    </border>
    <border>
      <left style="medium">
        <color indexed="64"/>
      </left>
      <right style="thin">
        <color rgb="FF333333"/>
      </right>
      <top style="medium">
        <color indexed="64"/>
      </top>
      <bottom style="medium">
        <color indexed="64"/>
      </bottom>
      <diagonal/>
    </border>
    <border>
      <left/>
      <right/>
      <top style="medium">
        <color rgb="FF333333"/>
      </top>
      <bottom style="medium">
        <color rgb="FF333333"/>
      </bottom>
      <diagonal/>
    </border>
    <border>
      <left style="thin">
        <color rgb="FF333333"/>
      </left>
      <right style="thin">
        <color rgb="FF333333"/>
      </right>
      <top/>
      <bottom style="medium">
        <color rgb="FF333333"/>
      </bottom>
      <diagonal/>
    </border>
    <border>
      <left style="thin">
        <color rgb="FF333333"/>
      </left>
      <right/>
      <top style="thin">
        <color rgb="FF333333"/>
      </top>
      <bottom style="thin">
        <color rgb="FF333333"/>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indexed="64"/>
      </bottom>
      <diagonal/>
    </border>
    <border>
      <left/>
      <right style="thin">
        <color auto="1"/>
      </right>
      <top style="medium">
        <color auto="1"/>
      </top>
      <bottom style="medium">
        <color indexed="64"/>
      </bottom>
      <diagonal/>
    </border>
    <border>
      <left style="thin">
        <color indexed="64"/>
      </left>
      <right style="thin">
        <color indexed="64"/>
      </right>
      <top/>
      <bottom style="medium">
        <color indexed="64"/>
      </bottom>
      <diagonal/>
    </border>
    <border>
      <left/>
      <right style="thin">
        <color auto="1"/>
      </right>
      <top/>
      <bottom style="medium">
        <color indexed="64"/>
      </bottom>
      <diagonal/>
    </border>
    <border>
      <left style="medium">
        <color indexed="64"/>
      </left>
      <right style="thin">
        <color indexed="64"/>
      </right>
      <top/>
      <bottom style="medium">
        <color indexed="64"/>
      </bottom>
      <diagonal/>
    </border>
  </borders>
  <cellStyleXfs count="8">
    <xf numFmtId="0" fontId="0" fillId="0" borderId="0"/>
    <xf numFmtId="165" fontId="3" fillId="0" borderId="0" applyBorder="0" applyProtection="0"/>
    <xf numFmtId="0" fontId="5" fillId="0" borderId="0"/>
    <xf numFmtId="168" fontId="18" fillId="0" borderId="0" applyBorder="0" applyProtection="0"/>
    <xf numFmtId="0" fontId="18"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354">
    <xf numFmtId="0" fontId="0" fillId="0" borderId="0" xfId="0"/>
    <xf numFmtId="0" fontId="2" fillId="0" borderId="0" xfId="0" applyFont="1"/>
    <xf numFmtId="164" fontId="0" fillId="0" borderId="0" xfId="0" applyNumberFormat="1"/>
    <xf numFmtId="165" fontId="2" fillId="0" borderId="0" xfId="0" applyNumberFormat="1" applyFont="1"/>
    <xf numFmtId="165" fontId="4" fillId="0" borderId="0" xfId="1" applyFont="1"/>
    <xf numFmtId="165" fontId="3" fillId="0" borderId="0" xfId="1"/>
    <xf numFmtId="165" fontId="2" fillId="0" borderId="0" xfId="1" applyFont="1"/>
    <xf numFmtId="166" fontId="0" fillId="0" borderId="0" xfId="0" applyNumberFormat="1"/>
    <xf numFmtId="164" fontId="2" fillId="0" borderId="0" xfId="0" applyNumberFormat="1" applyFont="1"/>
    <xf numFmtId="4" fontId="2" fillId="0" borderId="0" xfId="0" applyNumberFormat="1" applyFont="1"/>
    <xf numFmtId="165" fontId="5" fillId="0" borderId="0" xfId="1" applyFont="1"/>
    <xf numFmtId="165" fontId="0" fillId="0" borderId="0" xfId="0" applyNumberFormat="1"/>
    <xf numFmtId="0" fontId="2" fillId="2" borderId="1" xfId="0" applyFont="1" applyFill="1" applyBorder="1"/>
    <xf numFmtId="0" fontId="2" fillId="2" borderId="2" xfId="0" applyFont="1" applyFill="1" applyBorder="1"/>
    <xf numFmtId="0" fontId="0" fillId="2" borderId="3" xfId="0" applyFill="1" applyBorder="1"/>
    <xf numFmtId="43" fontId="2" fillId="0" borderId="4" xfId="0" applyNumberFormat="1" applyFont="1" applyBorder="1"/>
    <xf numFmtId="43" fontId="2" fillId="0" borderId="5" xfId="0" applyNumberFormat="1" applyFont="1" applyBorder="1"/>
    <xf numFmtId="0" fontId="0" fillId="0" borderId="6" xfId="0" applyBorder="1"/>
    <xf numFmtId="43" fontId="6" fillId="0" borderId="7" xfId="0" applyNumberFormat="1" applyFont="1" applyBorder="1"/>
    <xf numFmtId="43" fontId="4" fillId="0" borderId="8" xfId="0" applyNumberFormat="1" applyFont="1" applyBorder="1"/>
    <xf numFmtId="0" fontId="7" fillId="0" borderId="9" xfId="0" applyFont="1" applyBorder="1"/>
    <xf numFmtId="164" fontId="8" fillId="0" borderId="10" xfId="0" applyNumberFormat="1" applyFont="1" applyBorder="1"/>
    <xf numFmtId="43" fontId="2" fillId="0" borderId="11" xfId="1" applyNumberFormat="1" applyFont="1" applyBorder="1"/>
    <xf numFmtId="0" fontId="5" fillId="0" borderId="9" xfId="0" applyFont="1" applyBorder="1"/>
    <xf numFmtId="4" fontId="0" fillId="0" borderId="0" xfId="0" applyNumberFormat="1"/>
    <xf numFmtId="43" fontId="8" fillId="0" borderId="12" xfId="0" applyNumberFormat="1" applyFont="1" applyBorder="1"/>
    <xf numFmtId="43" fontId="8" fillId="0" borderId="13" xfId="0" applyNumberFormat="1" applyFont="1" applyBorder="1"/>
    <xf numFmtId="0" fontId="3" fillId="0" borderId="9" xfId="0" applyFont="1" applyBorder="1"/>
    <xf numFmtId="43" fontId="4" fillId="0" borderId="14" xfId="0" applyNumberFormat="1" applyFont="1" applyBorder="1"/>
    <xf numFmtId="0" fontId="0" fillId="0" borderId="13" xfId="0" applyBorder="1"/>
    <xf numFmtId="0" fontId="7" fillId="0" borderId="15" xfId="0" applyFont="1" applyBorder="1"/>
    <xf numFmtId="4" fontId="9" fillId="0" borderId="0" xfId="0" applyNumberFormat="1" applyFont="1" applyAlignment="1">
      <alignment wrapText="1"/>
    </xf>
    <xf numFmtId="44" fontId="0" fillId="0" borderId="0" xfId="0" applyNumberFormat="1"/>
    <xf numFmtId="43" fontId="4" fillId="0" borderId="16" xfId="0" applyNumberFormat="1" applyFont="1" applyBorder="1"/>
    <xf numFmtId="43" fontId="4" fillId="0" borderId="17" xfId="0" applyNumberFormat="1" applyFont="1" applyBorder="1"/>
    <xf numFmtId="0" fontId="7" fillId="0" borderId="18" xfId="0" applyFont="1" applyBorder="1"/>
    <xf numFmtId="4" fontId="10" fillId="0" borderId="0" xfId="0" applyNumberFormat="1" applyFont="1"/>
    <xf numFmtId="43" fontId="2" fillId="0" borderId="12" xfId="0" applyNumberFormat="1" applyFont="1" applyBorder="1"/>
    <xf numFmtId="43" fontId="7" fillId="0" borderId="13" xfId="0" applyNumberFormat="1" applyFont="1" applyBorder="1"/>
    <xf numFmtId="2" fontId="0" fillId="0" borderId="0" xfId="0" applyNumberFormat="1"/>
    <xf numFmtId="165" fontId="8" fillId="0" borderId="13" xfId="1" applyFont="1" applyBorder="1"/>
    <xf numFmtId="44" fontId="3" fillId="0" borderId="0" xfId="1" applyNumberFormat="1"/>
    <xf numFmtId="43" fontId="2" fillId="0" borderId="13" xfId="0" applyNumberFormat="1" applyFont="1" applyBorder="1"/>
    <xf numFmtId="3" fontId="0" fillId="0" borderId="0" xfId="0" applyNumberFormat="1"/>
    <xf numFmtId="43" fontId="7" fillId="0" borderId="19" xfId="0" applyNumberFormat="1" applyFont="1" applyBorder="1" applyAlignment="1">
      <alignment horizontal="right"/>
    </xf>
    <xf numFmtId="43" fontId="7" fillId="0" borderId="20" xfId="0" applyNumberFormat="1" applyFont="1" applyBorder="1" applyAlignment="1">
      <alignment horizontal="right"/>
    </xf>
    <xf numFmtId="167" fontId="0" fillId="0" borderId="0" xfId="0" applyNumberFormat="1"/>
    <xf numFmtId="43" fontId="2" fillId="0" borderId="21" xfId="0" applyNumberFormat="1" applyFont="1" applyBorder="1"/>
    <xf numFmtId="43" fontId="2" fillId="0" borderId="22" xfId="0" applyNumberFormat="1" applyFont="1" applyBorder="1"/>
    <xf numFmtId="0" fontId="7" fillId="0" borderId="9" xfId="0" applyFont="1" applyBorder="1" applyAlignment="1">
      <alignment horizontal="left"/>
    </xf>
    <xf numFmtId="0" fontId="5" fillId="0" borderId="0" xfId="0" applyFont="1"/>
    <xf numFmtId="3" fontId="11" fillId="0" borderId="0" xfId="0" applyNumberFormat="1" applyFont="1"/>
    <xf numFmtId="43" fontId="2" fillId="2" borderId="4" xfId="0" applyNumberFormat="1" applyFont="1" applyFill="1" applyBorder="1"/>
    <xf numFmtId="43" fontId="2" fillId="2" borderId="5" xfId="0" applyNumberFormat="1" applyFont="1" applyFill="1" applyBorder="1"/>
    <xf numFmtId="0" fontId="7" fillId="2" borderId="6" xfId="0" applyFont="1" applyFill="1" applyBorder="1"/>
    <xf numFmtId="43" fontId="4" fillId="0" borderId="12" xfId="0" applyNumberFormat="1" applyFont="1" applyBorder="1"/>
    <xf numFmtId="43" fontId="4" fillId="0" borderId="13" xfId="0" applyNumberFormat="1" applyFont="1" applyBorder="1"/>
    <xf numFmtId="4" fontId="11" fillId="0" borderId="0" xfId="0" applyNumberFormat="1" applyFont="1"/>
    <xf numFmtId="164" fontId="8" fillId="0" borderId="12" xfId="0" applyNumberFormat="1" applyFont="1" applyBorder="1"/>
    <xf numFmtId="43" fontId="2" fillId="0" borderId="13" xfId="1" applyNumberFormat="1" applyFont="1" applyBorder="1"/>
    <xf numFmtId="0" fontId="5" fillId="0" borderId="23" xfId="0" applyFont="1" applyBorder="1"/>
    <xf numFmtId="165" fontId="12" fillId="0" borderId="0" xfId="1" applyFont="1"/>
    <xf numFmtId="43" fontId="2" fillId="0" borderId="12" xfId="1" applyNumberFormat="1" applyFont="1" applyBorder="1"/>
    <xf numFmtId="0" fontId="7" fillId="0" borderId="23" xfId="0" applyFont="1" applyBorder="1" applyAlignment="1">
      <alignment horizontal="left"/>
    </xf>
    <xf numFmtId="4" fontId="13" fillId="0" borderId="0" xfId="0" applyNumberFormat="1" applyFont="1" applyAlignment="1">
      <alignment horizontal="right"/>
    </xf>
    <xf numFmtId="0" fontId="11" fillId="0" borderId="0" xfId="0" applyFont="1"/>
    <xf numFmtId="43" fontId="2" fillId="2" borderId="12" xfId="0" applyNumberFormat="1" applyFont="1" applyFill="1" applyBorder="1"/>
    <xf numFmtId="43" fontId="2" fillId="2" borderId="13" xfId="0" applyNumberFormat="1" applyFont="1" applyFill="1" applyBorder="1"/>
    <xf numFmtId="0" fontId="0" fillId="2" borderId="6" xfId="0" applyFill="1" applyBorder="1"/>
    <xf numFmtId="43" fontId="4" fillId="0" borderId="13" xfId="1" applyNumberFormat="1" applyFont="1" applyBorder="1"/>
    <xf numFmtId="0" fontId="2" fillId="0" borderId="12" xfId="0" applyFont="1" applyBorder="1"/>
    <xf numFmtId="43" fontId="0" fillId="0" borderId="0" xfId="0" applyNumberFormat="1"/>
    <xf numFmtId="43" fontId="4" fillId="0" borderId="0" xfId="0" applyNumberFormat="1" applyFont="1"/>
    <xf numFmtId="0" fontId="2" fillId="0" borderId="13" xfId="0" applyFont="1" applyBorder="1"/>
    <xf numFmtId="4" fontId="14" fillId="0" borderId="0" xfId="0" applyNumberFormat="1" applyFont="1" applyAlignment="1">
      <alignment horizontal="right"/>
    </xf>
    <xf numFmtId="0" fontId="14" fillId="0" borderId="0" xfId="0" applyFont="1" applyAlignment="1">
      <alignment horizontal="left"/>
    </xf>
    <xf numFmtId="0" fontId="0" fillId="0" borderId="0" xfId="0" applyAlignment="1">
      <alignment horizontal="center"/>
    </xf>
    <xf numFmtId="0" fontId="2" fillId="0" borderId="24" xfId="2" applyFont="1" applyBorder="1" applyAlignment="1">
      <alignment horizontal="center" wrapText="1"/>
    </xf>
    <xf numFmtId="0" fontId="2" fillId="0" borderId="25" xfId="0" applyFont="1" applyBorder="1" applyAlignment="1">
      <alignment horizontal="center" wrapText="1"/>
    </xf>
    <xf numFmtId="0" fontId="7" fillId="0" borderId="6" xfId="0" applyFont="1" applyBorder="1" applyAlignment="1">
      <alignment horizontal="center"/>
    </xf>
    <xf numFmtId="0" fontId="2" fillId="0" borderId="26" xfId="0" applyFont="1" applyBorder="1" applyAlignment="1">
      <alignment horizontal="center"/>
    </xf>
    <xf numFmtId="0" fontId="2" fillId="0" borderId="17" xfId="0" applyFont="1" applyBorder="1" applyAlignment="1">
      <alignment horizontal="center"/>
    </xf>
    <xf numFmtId="0" fontId="0" fillId="0" borderId="6" xfId="0" applyBorder="1" applyAlignment="1">
      <alignment horizontal="center"/>
    </xf>
    <xf numFmtId="0" fontId="2" fillId="0" borderId="21" xfId="0" applyFont="1" applyBorder="1" applyAlignment="1">
      <alignment horizontal="center"/>
    </xf>
    <xf numFmtId="0" fontId="2" fillId="0" borderId="27" xfId="0" applyFont="1" applyBorder="1" applyAlignment="1">
      <alignment horizontal="center"/>
    </xf>
    <xf numFmtId="0" fontId="0" fillId="0" borderId="15" xfId="0" applyBorder="1" applyAlignment="1">
      <alignment horizontal="center"/>
    </xf>
    <xf numFmtId="0" fontId="2" fillId="0" borderId="4" xfId="0" applyFont="1" applyBorder="1"/>
    <xf numFmtId="0" fontId="15" fillId="0" borderId="0" xfId="0" applyFont="1"/>
    <xf numFmtId="0" fontId="7" fillId="0" borderId="0" xfId="0" applyFont="1" applyAlignment="1">
      <alignment horizontal="right"/>
    </xf>
    <xf numFmtId="0" fontId="2" fillId="0" borderId="30" xfId="0" applyFont="1" applyBorder="1"/>
    <xf numFmtId="0" fontId="2" fillId="0" borderId="31" xfId="0" applyFont="1" applyBorder="1"/>
    <xf numFmtId="0" fontId="0" fillId="0" borderId="32" xfId="0" applyBorder="1"/>
    <xf numFmtId="0" fontId="16" fillId="0" borderId="0" xfId="0" applyFont="1"/>
    <xf numFmtId="43" fontId="5" fillId="0" borderId="0" xfId="1" applyNumberFormat="1" applyFont="1"/>
    <xf numFmtId="0" fontId="16" fillId="0" borderId="33" xfId="0" applyFont="1" applyBorder="1"/>
    <xf numFmtId="43" fontId="5" fillId="0" borderId="33" xfId="1" applyNumberFormat="1" applyFont="1" applyBorder="1"/>
    <xf numFmtId="43" fontId="0" fillId="0" borderId="33" xfId="0" applyNumberFormat="1" applyBorder="1"/>
    <xf numFmtId="165" fontId="5" fillId="0" borderId="33" xfId="1" applyFont="1" applyBorder="1"/>
    <xf numFmtId="0" fontId="0" fillId="0" borderId="33" xfId="0" applyBorder="1"/>
    <xf numFmtId="166" fontId="0" fillId="0" borderId="33" xfId="0" applyNumberFormat="1" applyBorder="1"/>
    <xf numFmtId="166" fontId="7" fillId="0" borderId="0" xfId="0" applyNumberFormat="1" applyFont="1"/>
    <xf numFmtId="0" fontId="0" fillId="0" borderId="27" xfId="0" applyBorder="1" applyAlignment="1">
      <alignment horizontal="center"/>
    </xf>
    <xf numFmtId="43" fontId="5" fillId="0" borderId="27" xfId="1" applyNumberFormat="1" applyFont="1" applyBorder="1" applyAlignment="1">
      <alignment horizontal="center"/>
    </xf>
    <xf numFmtId="43" fontId="5" fillId="0" borderId="34" xfId="1" applyNumberFormat="1" applyFont="1" applyBorder="1" applyAlignment="1">
      <alignment horizontal="center"/>
    </xf>
    <xf numFmtId="43" fontId="0" fillId="0" borderId="35" xfId="0" applyNumberFormat="1" applyBorder="1" applyAlignment="1">
      <alignment horizontal="center"/>
    </xf>
    <xf numFmtId="165" fontId="5" fillId="0" borderId="34" xfId="1" applyFont="1" applyBorder="1" applyAlignment="1">
      <alignment horizontal="center"/>
    </xf>
    <xf numFmtId="0" fontId="0" fillId="0" borderId="35" xfId="0" applyBorder="1" applyAlignment="1">
      <alignment horizontal="center"/>
    </xf>
    <xf numFmtId="166" fontId="0" fillId="0" borderId="35" xfId="0" applyNumberFormat="1"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166" fontId="0" fillId="0" borderId="5" xfId="0" applyNumberFormat="1" applyBorder="1" applyAlignment="1">
      <alignment horizontal="center"/>
    </xf>
    <xf numFmtId="0" fontId="7" fillId="0" borderId="17" xfId="0" applyFont="1" applyBorder="1" applyAlignment="1">
      <alignment horizontal="center"/>
    </xf>
    <xf numFmtId="0" fontId="17" fillId="0" borderId="17" xfId="0" applyFont="1" applyBorder="1" applyAlignment="1">
      <alignment horizontal="center"/>
    </xf>
    <xf numFmtId="43" fontId="17" fillId="0" borderId="17" xfId="1" applyNumberFormat="1" applyFont="1" applyBorder="1" applyAlignment="1">
      <alignment horizontal="center"/>
    </xf>
    <xf numFmtId="43" fontId="17" fillId="0" borderId="0" xfId="1" applyNumberFormat="1" applyFont="1" applyAlignment="1">
      <alignment horizontal="center"/>
    </xf>
    <xf numFmtId="43" fontId="17" fillId="0" borderId="5" xfId="0" applyNumberFormat="1" applyFont="1" applyBorder="1" applyAlignment="1">
      <alignment horizontal="center"/>
    </xf>
    <xf numFmtId="43" fontId="5" fillId="0" borderId="17" xfId="1" applyNumberFormat="1" applyFont="1" applyBorder="1" applyAlignment="1">
      <alignment horizontal="center"/>
    </xf>
    <xf numFmtId="165" fontId="5" fillId="0" borderId="0" xfId="1" applyFont="1" applyAlignment="1">
      <alignment horizontal="center"/>
    </xf>
    <xf numFmtId="0" fontId="5" fillId="0" borderId="5" xfId="0" applyFont="1" applyBorder="1" applyAlignment="1">
      <alignment horizontal="center"/>
    </xf>
    <xf numFmtId="166" fontId="5" fillId="0" borderId="5" xfId="0" applyNumberFormat="1" applyFont="1" applyBorder="1" applyAlignment="1">
      <alignment horizontal="center"/>
    </xf>
    <xf numFmtId="0" fontId="0" fillId="0" borderId="17" xfId="0" applyBorder="1"/>
    <xf numFmtId="0" fontId="5" fillId="0" borderId="38" xfId="0" applyFont="1" applyBorder="1"/>
    <xf numFmtId="166" fontId="5" fillId="0" borderId="38" xfId="0" applyNumberFormat="1" applyFont="1" applyBorder="1"/>
    <xf numFmtId="0" fontId="7" fillId="0" borderId="13" xfId="0" applyFont="1" applyBorder="1" applyAlignment="1">
      <alignment horizontal="left"/>
    </xf>
    <xf numFmtId="43" fontId="5" fillId="0" borderId="13" xfId="1" applyNumberFormat="1" applyFont="1" applyBorder="1"/>
    <xf numFmtId="43" fontId="5" fillId="0" borderId="5" xfId="1" applyNumberFormat="1" applyFont="1" applyBorder="1"/>
    <xf numFmtId="43" fontId="0" fillId="0" borderId="40" xfId="0" applyNumberFormat="1" applyBorder="1"/>
    <xf numFmtId="43" fontId="5" fillId="0" borderId="36" xfId="1" applyNumberFormat="1" applyFont="1" applyBorder="1"/>
    <xf numFmtId="165" fontId="5" fillId="0" borderId="40" xfId="1" applyFont="1" applyBorder="1"/>
    <xf numFmtId="0" fontId="0" fillId="0" borderId="40" xfId="0" applyBorder="1"/>
    <xf numFmtId="166" fontId="0" fillId="0" borderId="40" xfId="0" applyNumberFormat="1" applyBorder="1"/>
    <xf numFmtId="0" fontId="5" fillId="0" borderId="13" xfId="0" applyFont="1" applyBorder="1" applyAlignment="1">
      <alignment horizontal="left"/>
    </xf>
    <xf numFmtId="43" fontId="0" fillId="0" borderId="13" xfId="0" applyNumberFormat="1" applyBorder="1"/>
    <xf numFmtId="43" fontId="3" fillId="0" borderId="41" xfId="3" applyNumberFormat="1" applyFont="1" applyBorder="1"/>
    <xf numFmtId="43" fontId="0" fillId="0" borderId="37" xfId="0" applyNumberFormat="1" applyBorder="1"/>
    <xf numFmtId="43" fontId="0" fillId="0" borderId="13" xfId="1" applyNumberFormat="1" applyFont="1" applyBorder="1"/>
    <xf numFmtId="165" fontId="5" fillId="0" borderId="38" xfId="1" applyFont="1" applyBorder="1"/>
    <xf numFmtId="0" fontId="5" fillId="0" borderId="40" xfId="2" applyBorder="1"/>
    <xf numFmtId="0" fontId="5" fillId="0" borderId="13" xfId="0" applyFont="1" applyBorder="1"/>
    <xf numFmtId="43" fontId="19" fillId="0" borderId="13" xfId="0" applyNumberFormat="1" applyFont="1" applyBorder="1"/>
    <xf numFmtId="43" fontId="5" fillId="0" borderId="41" xfId="1" applyNumberFormat="1" applyFont="1" applyBorder="1"/>
    <xf numFmtId="43" fontId="3" fillId="0" borderId="13" xfId="0" applyNumberFormat="1" applyFont="1" applyBorder="1"/>
    <xf numFmtId="43" fontId="5" fillId="0" borderId="38" xfId="1" applyNumberFormat="1" applyFont="1" applyBorder="1"/>
    <xf numFmtId="43" fontId="5" fillId="0" borderId="40" xfId="1" applyNumberFormat="1" applyFont="1" applyBorder="1"/>
    <xf numFmtId="0" fontId="5" fillId="0" borderId="42" xfId="0" applyFont="1" applyBorder="1"/>
    <xf numFmtId="43" fontId="0" fillId="0" borderId="39" xfId="0" applyNumberFormat="1" applyBorder="1"/>
    <xf numFmtId="0" fontId="12" fillId="0" borderId="13" xfId="0" applyFont="1" applyBorder="1"/>
    <xf numFmtId="43" fontId="12" fillId="0" borderId="38" xfId="1" applyNumberFormat="1" applyFont="1" applyBorder="1"/>
    <xf numFmtId="43" fontId="12" fillId="0" borderId="39" xfId="0" applyNumberFormat="1" applyFont="1" applyBorder="1"/>
    <xf numFmtId="43" fontId="12" fillId="0" borderId="40" xfId="0" applyNumberFormat="1" applyFont="1" applyBorder="1"/>
    <xf numFmtId="166" fontId="12" fillId="0" borderId="40" xfId="0" applyNumberFormat="1" applyFont="1" applyBorder="1"/>
    <xf numFmtId="0" fontId="12" fillId="0" borderId="40" xfId="0" applyFont="1" applyBorder="1"/>
    <xf numFmtId="0" fontId="12" fillId="0" borderId="0" xfId="0" applyFont="1"/>
    <xf numFmtId="166" fontId="12" fillId="0" borderId="0" xfId="0" applyNumberFormat="1" applyFont="1"/>
    <xf numFmtId="166" fontId="20" fillId="0" borderId="40" xfId="0" applyNumberFormat="1" applyFont="1" applyBorder="1"/>
    <xf numFmtId="0" fontId="20" fillId="0" borderId="40" xfId="0" applyFont="1" applyBorder="1"/>
    <xf numFmtId="166" fontId="11" fillId="0" borderId="0" xfId="0" applyNumberFormat="1" applyFont="1"/>
    <xf numFmtId="0" fontId="20" fillId="0" borderId="0" xfId="0" applyFont="1"/>
    <xf numFmtId="165" fontId="21" fillId="0" borderId="13" xfId="1" applyFont="1" applyBorder="1" applyAlignment="1">
      <alignment horizontal="left" vertical="top" wrapText="1"/>
    </xf>
    <xf numFmtId="165" fontId="20" fillId="0" borderId="0" xfId="1" applyFont="1"/>
    <xf numFmtId="0" fontId="3" fillId="0" borderId="17" xfId="0" applyFont="1" applyBorder="1" applyAlignment="1">
      <alignment horizontal="left"/>
    </xf>
    <xf numFmtId="43" fontId="12" fillId="0" borderId="42" xfId="0" applyNumberFormat="1" applyFont="1" applyBorder="1"/>
    <xf numFmtId="43" fontId="0" fillId="0" borderId="17" xfId="0" applyNumberFormat="1" applyBorder="1"/>
    <xf numFmtId="43" fontId="5" fillId="0" borderId="42" xfId="1" applyNumberFormat="1" applyFont="1" applyBorder="1"/>
    <xf numFmtId="165" fontId="5" fillId="0" borderId="5" xfId="1" applyFont="1" applyBorder="1"/>
    <xf numFmtId="0" fontId="7" fillId="0" borderId="43" xfId="0" applyFont="1" applyBorder="1"/>
    <xf numFmtId="43" fontId="7" fillId="0" borderId="44" xfId="1" applyNumberFormat="1" applyFont="1" applyBorder="1" applyAlignment="1">
      <alignment horizontal="right"/>
    </xf>
    <xf numFmtId="43" fontId="5" fillId="0" borderId="45" xfId="1" applyNumberFormat="1" applyFont="1" applyBorder="1"/>
    <xf numFmtId="43" fontId="0" fillId="0" borderId="46" xfId="0" applyNumberFormat="1" applyBorder="1"/>
    <xf numFmtId="43" fontId="7" fillId="0" borderId="46" xfId="1" applyNumberFormat="1" applyFont="1" applyBorder="1"/>
    <xf numFmtId="165" fontId="5" fillId="0" borderId="47" xfId="1" applyFont="1" applyBorder="1"/>
    <xf numFmtId="43" fontId="0" fillId="0" borderId="48" xfId="0" applyNumberFormat="1" applyBorder="1"/>
    <xf numFmtId="0" fontId="0" fillId="0" borderId="49" xfId="0" applyBorder="1"/>
    <xf numFmtId="166" fontId="0" fillId="0" borderId="50" xfId="0" applyNumberFormat="1" applyBorder="1"/>
    <xf numFmtId="0" fontId="0" fillId="0" borderId="50" xfId="0" applyBorder="1"/>
    <xf numFmtId="0" fontId="0" fillId="2" borderId="39" xfId="0" applyFill="1" applyBorder="1"/>
    <xf numFmtId="43" fontId="5" fillId="2" borderId="5" xfId="1" applyNumberFormat="1" applyFont="1" applyFill="1" applyBorder="1"/>
    <xf numFmtId="43" fontId="0" fillId="2" borderId="5" xfId="0" applyNumberFormat="1" applyFill="1" applyBorder="1"/>
    <xf numFmtId="165" fontId="5" fillId="2" borderId="5" xfId="1" applyFont="1" applyFill="1" applyBorder="1"/>
    <xf numFmtId="0" fontId="0" fillId="2" borderId="5" xfId="0" applyFill="1" applyBorder="1"/>
    <xf numFmtId="166" fontId="0" fillId="2" borderId="5" xfId="0" applyNumberFormat="1" applyFill="1" applyBorder="1"/>
    <xf numFmtId="0" fontId="7" fillId="0" borderId="27" xfId="0" applyFont="1" applyBorder="1" applyAlignment="1">
      <alignment horizontal="left"/>
    </xf>
    <xf numFmtId="43" fontId="5" fillId="0" borderId="51" xfId="1" applyNumberFormat="1" applyFont="1" applyBorder="1"/>
    <xf numFmtId="43" fontId="0" fillId="0" borderId="51" xfId="0" applyNumberFormat="1" applyBorder="1"/>
    <xf numFmtId="165" fontId="5" fillId="0" borderId="51" xfId="1" applyFont="1" applyBorder="1"/>
    <xf numFmtId="0" fontId="0" fillId="0" borderId="51" xfId="0" applyBorder="1"/>
    <xf numFmtId="166" fontId="0" fillId="0" borderId="51" xfId="0" applyNumberFormat="1" applyBorder="1"/>
    <xf numFmtId="0" fontId="5" fillId="0" borderId="27" xfId="0" applyFont="1" applyBorder="1" applyAlignment="1">
      <alignment horizontal="left"/>
    </xf>
    <xf numFmtId="43" fontId="22" fillId="3" borderId="0" xfId="4" applyNumberFormat="1" applyFont="1" applyFill="1"/>
    <xf numFmtId="43" fontId="0" fillId="0" borderId="0" xfId="1" applyNumberFormat="1" applyFont="1"/>
    <xf numFmtId="43" fontId="5" fillId="0" borderId="22" xfId="1" applyNumberFormat="1" applyFont="1" applyBorder="1"/>
    <xf numFmtId="0" fontId="12" fillId="0" borderId="13" xfId="0" applyFont="1" applyBorder="1" applyAlignment="1">
      <alignment horizontal="left"/>
    </xf>
    <xf numFmtId="43" fontId="12" fillId="0" borderId="13" xfId="1" applyNumberFormat="1" applyFont="1" applyBorder="1" applyAlignment="1">
      <alignment vertical="top" wrapText="1"/>
    </xf>
    <xf numFmtId="43" fontId="12" fillId="0" borderId="22" xfId="1" applyNumberFormat="1" applyFont="1" applyBorder="1"/>
    <xf numFmtId="165" fontId="5" fillId="0" borderId="22" xfId="1" applyFont="1" applyBorder="1"/>
    <xf numFmtId="166" fontId="12" fillId="0" borderId="51" xfId="0" applyNumberFormat="1" applyFont="1" applyBorder="1"/>
    <xf numFmtId="0" fontId="12" fillId="0" borderId="51" xfId="0" applyFont="1" applyBorder="1"/>
    <xf numFmtId="165" fontId="12" fillId="0" borderId="0" xfId="0" applyNumberFormat="1" applyFont="1"/>
    <xf numFmtId="0" fontId="23" fillId="0" borderId="13" xfId="0" applyFont="1" applyBorder="1" applyAlignment="1">
      <alignment wrapText="1"/>
    </xf>
    <xf numFmtId="4" fontId="24" fillId="0" borderId="0" xfId="0" applyNumberFormat="1" applyFont="1" applyAlignment="1">
      <alignment wrapText="1"/>
    </xf>
    <xf numFmtId="43" fontId="3" fillId="0" borderId="13" xfId="1" applyNumberFormat="1" applyBorder="1"/>
    <xf numFmtId="0" fontId="5" fillId="0" borderId="17" xfId="0" applyFont="1" applyBorder="1" applyAlignment="1">
      <alignment horizontal="left"/>
    </xf>
    <xf numFmtId="43" fontId="5" fillId="0" borderId="52" xfId="1" applyNumberFormat="1" applyFont="1" applyBorder="1"/>
    <xf numFmtId="166" fontId="0" fillId="0" borderId="53" xfId="0" applyNumberFormat="1" applyBorder="1" applyAlignment="1">
      <alignment horizontal="right"/>
    </xf>
    <xf numFmtId="43" fontId="3" fillId="3" borderId="0" xfId="3" applyNumberFormat="1" applyFont="1" applyFill="1"/>
    <xf numFmtId="0" fontId="12" fillId="0" borderId="54" xfId="0" applyFont="1" applyBorder="1"/>
    <xf numFmtId="43" fontId="12" fillId="0" borderId="35" xfId="1" applyNumberFormat="1" applyFont="1" applyBorder="1"/>
    <xf numFmtId="43" fontId="0" fillId="0" borderId="36" xfId="0" applyNumberFormat="1" applyBorder="1"/>
    <xf numFmtId="165" fontId="5" fillId="0" borderId="52" xfId="1" applyFont="1" applyBorder="1"/>
    <xf numFmtId="0" fontId="7" fillId="0" borderId="55" xfId="0" applyFont="1" applyBorder="1"/>
    <xf numFmtId="43" fontId="25" fillId="0" borderId="56" xfId="1" applyNumberFormat="1" applyFont="1" applyBorder="1" applyAlignment="1">
      <alignment horizontal="right"/>
    </xf>
    <xf numFmtId="43" fontId="5" fillId="0" borderId="46" xfId="1" applyNumberFormat="1" applyFont="1" applyBorder="1" applyAlignment="1">
      <alignment horizontal="right"/>
    </xf>
    <xf numFmtId="43" fontId="0" fillId="0" borderId="46" xfId="0" applyNumberFormat="1" applyBorder="1" applyAlignment="1">
      <alignment horizontal="right"/>
    </xf>
    <xf numFmtId="43" fontId="25" fillId="0" borderId="46" xfId="1" applyNumberFormat="1" applyFont="1" applyBorder="1"/>
    <xf numFmtId="165" fontId="5" fillId="0" borderId="46" xfId="1" applyFont="1" applyBorder="1" applyAlignment="1">
      <alignment horizontal="right"/>
    </xf>
    <xf numFmtId="43" fontId="0" fillId="0" borderId="47" xfId="0" applyNumberFormat="1" applyBorder="1"/>
    <xf numFmtId="0" fontId="0" fillId="0" borderId="57" xfId="0" applyBorder="1"/>
    <xf numFmtId="0" fontId="0" fillId="2" borderId="17" xfId="0" applyFill="1" applyBorder="1"/>
    <xf numFmtId="43" fontId="3" fillId="0" borderId="22" xfId="1" applyNumberFormat="1" applyBorder="1"/>
    <xf numFmtId="0" fontId="26" fillId="0" borderId="0" xfId="0" applyFont="1" applyAlignment="1">
      <alignment wrapText="1"/>
    </xf>
    <xf numFmtId="43" fontId="25" fillId="0" borderId="58" xfId="1" applyNumberFormat="1" applyFont="1" applyBorder="1" applyAlignment="1">
      <alignment horizontal="right"/>
    </xf>
    <xf numFmtId="43" fontId="5" fillId="0" borderId="53" xfId="1" applyNumberFormat="1" applyFont="1" applyBorder="1" applyAlignment="1">
      <alignment horizontal="right"/>
    </xf>
    <xf numFmtId="43" fontId="0" fillId="0" borderId="53" xfId="0" applyNumberFormat="1" applyBorder="1" applyAlignment="1">
      <alignment horizontal="right"/>
    </xf>
    <xf numFmtId="43" fontId="25" fillId="0" borderId="53" xfId="1" applyNumberFormat="1" applyFont="1" applyBorder="1" applyAlignment="1">
      <alignment horizontal="right"/>
    </xf>
    <xf numFmtId="165" fontId="5" fillId="0" borderId="53" xfId="1" applyFont="1" applyBorder="1" applyAlignment="1">
      <alignment horizontal="right"/>
    </xf>
    <xf numFmtId="43" fontId="0" fillId="0" borderId="53" xfId="0" applyNumberFormat="1" applyBorder="1"/>
    <xf numFmtId="43" fontId="3" fillId="0" borderId="51" xfId="1" applyNumberFormat="1" applyBorder="1"/>
    <xf numFmtId="43" fontId="3" fillId="0" borderId="35" xfId="1" applyNumberFormat="1" applyBorder="1"/>
    <xf numFmtId="0" fontId="12" fillId="0" borderId="11" xfId="0" applyFont="1" applyBorder="1" applyAlignment="1">
      <alignment horizontal="left"/>
    </xf>
    <xf numFmtId="0" fontId="12" fillId="0" borderId="59" xfId="0" applyFont="1" applyBorder="1"/>
    <xf numFmtId="0" fontId="5" fillId="0" borderId="11" xfId="0" applyFont="1" applyBorder="1" applyAlignment="1">
      <alignment horizontal="left"/>
    </xf>
    <xf numFmtId="43" fontId="0" fillId="0" borderId="38" xfId="0" applyNumberFormat="1" applyBorder="1"/>
    <xf numFmtId="43" fontId="5" fillId="0" borderId="54" xfId="1" applyNumberFormat="1" applyFont="1" applyBorder="1"/>
    <xf numFmtId="43" fontId="0" fillId="0" borderId="42" xfId="0" applyNumberFormat="1" applyBorder="1"/>
    <xf numFmtId="43" fontId="25" fillId="0" borderId="60" xfId="1" applyNumberFormat="1" applyFont="1" applyBorder="1" applyAlignment="1">
      <alignment horizontal="right"/>
    </xf>
    <xf numFmtId="43" fontId="25" fillId="0" borderId="46" xfId="1" applyNumberFormat="1" applyFont="1" applyBorder="1" applyAlignment="1">
      <alignment horizontal="right"/>
    </xf>
    <xf numFmtId="0" fontId="7" fillId="0" borderId="17" xfId="0" applyFont="1" applyBorder="1" applyAlignment="1">
      <alignment horizontal="left"/>
    </xf>
    <xf numFmtId="43" fontId="5" fillId="0" borderId="35" xfId="1" applyNumberFormat="1" applyFont="1" applyBorder="1"/>
    <xf numFmtId="43" fontId="25" fillId="0" borderId="56" xfId="1" applyNumberFormat="1" applyFont="1" applyBorder="1"/>
    <xf numFmtId="43" fontId="5" fillId="0" borderId="46" xfId="1" applyNumberFormat="1" applyFont="1" applyBorder="1"/>
    <xf numFmtId="0" fontId="7" fillId="2" borderId="39" xfId="0" applyFont="1" applyFill="1" applyBorder="1"/>
    <xf numFmtId="43" fontId="7" fillId="2" borderId="5" xfId="1" applyNumberFormat="1" applyFont="1" applyFill="1" applyBorder="1"/>
    <xf numFmtId="43" fontId="7" fillId="2" borderId="5" xfId="0" applyNumberFormat="1" applyFont="1" applyFill="1" applyBorder="1"/>
    <xf numFmtId="165" fontId="7" fillId="2" borderId="5" xfId="1" applyFont="1" applyFill="1" applyBorder="1"/>
    <xf numFmtId="43" fontId="27" fillId="0" borderId="53" xfId="1" applyNumberFormat="1" applyFont="1" applyBorder="1"/>
    <xf numFmtId="43" fontId="28" fillId="0" borderId="53" xfId="1" applyNumberFormat="1" applyFont="1" applyBorder="1"/>
    <xf numFmtId="43" fontId="28" fillId="0" borderId="53" xfId="0" applyNumberFormat="1" applyFont="1" applyBorder="1"/>
    <xf numFmtId="165" fontId="28" fillId="0" borderId="53" xfId="1" applyFont="1" applyBorder="1"/>
    <xf numFmtId="0" fontId="29" fillId="0" borderId="0" xfId="5" applyFont="1"/>
    <xf numFmtId="0" fontId="3" fillId="0" borderId="0" xfId="5"/>
    <xf numFmtId="0" fontId="3" fillId="0" borderId="61" xfId="5" applyBorder="1"/>
    <xf numFmtId="0" fontId="3" fillId="0" borderId="62" xfId="5" applyBorder="1"/>
    <xf numFmtId="0" fontId="3" fillId="0" borderId="63" xfId="5" applyBorder="1"/>
    <xf numFmtId="0" fontId="3" fillId="0" borderId="61" xfId="5" applyBorder="1" applyAlignment="1">
      <alignment horizontal="center"/>
    </xf>
    <xf numFmtId="0" fontId="3" fillId="0" borderId="42" xfId="5" applyBorder="1" applyAlignment="1">
      <alignment horizontal="center"/>
    </xf>
    <xf numFmtId="0" fontId="3" fillId="0" borderId="64" xfId="5" applyBorder="1" applyAlignment="1">
      <alignment horizontal="center"/>
    </xf>
    <xf numFmtId="0" fontId="3" fillId="0" borderId="69" xfId="5" applyBorder="1" applyAlignment="1">
      <alignment horizontal="center"/>
    </xf>
    <xf numFmtId="0" fontId="25" fillId="0" borderId="64" xfId="5" applyFont="1" applyBorder="1" applyAlignment="1">
      <alignment horizontal="center"/>
    </xf>
    <xf numFmtId="0" fontId="3" fillId="0" borderId="64" xfId="5" applyBorder="1" applyAlignment="1">
      <alignment horizontal="center" wrapText="1"/>
    </xf>
    <xf numFmtId="0" fontId="3" fillId="0" borderId="69" xfId="5" applyBorder="1" applyAlignment="1">
      <alignment horizontal="center" wrapText="1"/>
    </xf>
    <xf numFmtId="0" fontId="3" fillId="0" borderId="13" xfId="5" applyBorder="1" applyAlignment="1">
      <alignment horizontal="center" wrapText="1"/>
    </xf>
    <xf numFmtId="0" fontId="25" fillId="4" borderId="66" xfId="5" applyFont="1" applyFill="1" applyBorder="1"/>
    <xf numFmtId="0" fontId="3" fillId="4" borderId="65" xfId="5" applyFill="1" applyBorder="1"/>
    <xf numFmtId="0" fontId="3" fillId="0" borderId="64" xfId="5" applyBorder="1"/>
    <xf numFmtId="0" fontId="3" fillId="0" borderId="13" xfId="5" applyBorder="1"/>
    <xf numFmtId="0" fontId="25" fillId="0" borderId="64" xfId="5" applyFont="1" applyBorder="1"/>
    <xf numFmtId="43" fontId="3" fillId="0" borderId="13" xfId="5" applyNumberFormat="1" applyBorder="1"/>
    <xf numFmtId="164" fontId="3" fillId="0" borderId="13" xfId="6" applyBorder="1"/>
    <xf numFmtId="43" fontId="3" fillId="0" borderId="13" xfId="5" applyNumberFormat="1" applyBorder="1" applyAlignment="1">
      <alignment horizontal="right"/>
    </xf>
    <xf numFmtId="43" fontId="3" fillId="0" borderId="13" xfId="7" applyFont="1" applyBorder="1"/>
    <xf numFmtId="0" fontId="3" fillId="0" borderId="13" xfId="5" applyBorder="1" applyAlignment="1">
      <alignment horizontal="right"/>
    </xf>
    <xf numFmtId="0" fontId="3" fillId="0" borderId="6" xfId="5" applyBorder="1"/>
    <xf numFmtId="0" fontId="25" fillId="0" borderId="70" xfId="5" applyFont="1" applyBorder="1"/>
    <xf numFmtId="0" fontId="3" fillId="0" borderId="71" xfId="5" applyBorder="1"/>
    <xf numFmtId="0" fontId="25" fillId="0" borderId="72" xfId="5" applyFont="1" applyBorder="1"/>
    <xf numFmtId="43" fontId="3" fillId="0" borderId="71" xfId="5" applyNumberFormat="1" applyBorder="1"/>
    <xf numFmtId="164" fontId="3" fillId="0" borderId="71" xfId="5" applyNumberFormat="1" applyBorder="1"/>
    <xf numFmtId="0" fontId="3" fillId="4" borderId="66" xfId="5" applyFill="1" applyBorder="1"/>
    <xf numFmtId="0" fontId="3" fillId="4" borderId="68" xfId="5" applyFill="1" applyBorder="1"/>
    <xf numFmtId="43" fontId="3" fillId="0" borderId="0" xfId="5" applyNumberFormat="1"/>
    <xf numFmtId="43" fontId="3" fillId="0" borderId="65" xfId="5" applyNumberFormat="1" applyBorder="1"/>
    <xf numFmtId="0" fontId="6" fillId="0" borderId="66" xfId="5" applyFont="1" applyBorder="1" applyAlignment="1">
      <alignment horizontal="center"/>
    </xf>
    <xf numFmtId="0" fontId="6" fillId="0" borderId="0" xfId="5" applyFont="1" applyAlignment="1">
      <alignment horizontal="center"/>
    </xf>
    <xf numFmtId="43" fontId="3" fillId="0" borderId="67" xfId="5" applyNumberFormat="1" applyBorder="1"/>
    <xf numFmtId="43" fontId="3" fillId="0" borderId="68" xfId="5" applyNumberFormat="1" applyBorder="1"/>
    <xf numFmtId="0" fontId="30" fillId="5" borderId="13" xfId="5" applyFont="1" applyFill="1" applyBorder="1" applyAlignment="1">
      <alignment horizontal="center" wrapText="1"/>
    </xf>
    <xf numFmtId="43" fontId="30" fillId="5" borderId="13" xfId="5" applyNumberFormat="1" applyFont="1" applyFill="1" applyBorder="1" applyAlignment="1">
      <alignment horizontal="center" wrapText="1"/>
    </xf>
    <xf numFmtId="0" fontId="30" fillId="0" borderId="0" xfId="5" applyFont="1" applyAlignment="1">
      <alignment horizontal="center" wrapText="1"/>
    </xf>
    <xf numFmtId="0" fontId="31" fillId="0" borderId="73" xfId="5" applyFont="1" applyBorder="1" applyAlignment="1">
      <alignment vertical="center" wrapText="1"/>
    </xf>
    <xf numFmtId="43" fontId="3" fillId="0" borderId="74" xfId="5" applyNumberFormat="1" applyBorder="1"/>
    <xf numFmtId="43" fontId="15" fillId="0" borderId="73" xfId="5" applyNumberFormat="1" applyFont="1" applyBorder="1"/>
    <xf numFmtId="0" fontId="31" fillId="0" borderId="71" xfId="5" applyFont="1" applyBorder="1" applyAlignment="1">
      <alignment vertical="top" wrapText="1"/>
    </xf>
    <xf numFmtId="0" fontId="31" fillId="0" borderId="71" xfId="5" applyFont="1" applyBorder="1" applyAlignment="1">
      <alignment vertical="center" wrapText="1"/>
    </xf>
    <xf numFmtId="43" fontId="3" fillId="0" borderId="75" xfId="5" applyNumberFormat="1" applyBorder="1"/>
    <xf numFmtId="43" fontId="15" fillId="0" borderId="71" xfId="5" applyNumberFormat="1" applyFont="1" applyBorder="1"/>
    <xf numFmtId="0" fontId="31" fillId="0" borderId="76" xfId="5" applyFont="1" applyBorder="1" applyAlignment="1">
      <alignment vertical="top" wrapText="1"/>
    </xf>
    <xf numFmtId="0" fontId="31" fillId="0" borderId="76" xfId="5" applyFont="1" applyBorder="1" applyAlignment="1">
      <alignment vertical="center" wrapText="1"/>
    </xf>
    <xf numFmtId="43" fontId="3" fillId="0" borderId="77" xfId="5" applyNumberFormat="1" applyBorder="1"/>
    <xf numFmtId="43" fontId="15" fillId="0" borderId="76" xfId="5" applyNumberFormat="1" applyFont="1" applyBorder="1"/>
    <xf numFmtId="0" fontId="31" fillId="0" borderId="54" xfId="5" applyFont="1" applyBorder="1" applyAlignment="1">
      <alignment vertical="center" wrapText="1"/>
    </xf>
    <xf numFmtId="0" fontId="31" fillId="0" borderId="54" xfId="5" applyFont="1" applyBorder="1" applyAlignment="1">
      <alignment vertical="top" wrapText="1"/>
    </xf>
    <xf numFmtId="43" fontId="15" fillId="0" borderId="68" xfId="5" applyNumberFormat="1" applyFont="1" applyBorder="1"/>
    <xf numFmtId="0" fontId="31" fillId="0" borderId="13" xfId="5" applyFont="1" applyBorder="1" applyAlignment="1">
      <alignment vertical="center" wrapText="1"/>
    </xf>
    <xf numFmtId="43" fontId="3" fillId="0" borderId="41" xfId="5" applyNumberFormat="1" applyBorder="1"/>
    <xf numFmtId="43" fontId="15" fillId="0" borderId="41" xfId="5" applyNumberFormat="1" applyFont="1" applyBorder="1"/>
    <xf numFmtId="43" fontId="15" fillId="0" borderId="74" xfId="5" applyNumberFormat="1" applyFont="1" applyBorder="1"/>
    <xf numFmtId="43" fontId="3" fillId="0" borderId="54" xfId="5" applyNumberFormat="1" applyBorder="1"/>
    <xf numFmtId="43" fontId="3" fillId="0" borderId="73" xfId="5" applyNumberFormat="1" applyBorder="1"/>
    <xf numFmtId="0" fontId="31" fillId="0" borderId="78" xfId="5" applyFont="1" applyBorder="1" applyAlignment="1">
      <alignment vertical="center" wrapText="1"/>
    </xf>
    <xf numFmtId="43" fontId="3" fillId="0" borderId="76" xfId="5" applyNumberFormat="1" applyBorder="1" applyAlignment="1">
      <alignment vertical="center"/>
    </xf>
    <xf numFmtId="43" fontId="15" fillId="0" borderId="76" xfId="5" applyNumberFormat="1" applyFont="1" applyBorder="1" applyAlignment="1">
      <alignment vertical="center"/>
    </xf>
    <xf numFmtId="0" fontId="31" fillId="0" borderId="0" xfId="5" applyFont="1" applyAlignment="1">
      <alignment vertical="center" wrapText="1"/>
    </xf>
    <xf numFmtId="43" fontId="15" fillId="0" borderId="0" xfId="5" applyNumberFormat="1" applyFont="1"/>
    <xf numFmtId="43" fontId="0" fillId="0" borderId="54" xfId="0" applyNumberFormat="1" applyBorder="1"/>
    <xf numFmtId="43" fontId="0" fillId="0" borderId="54" xfId="1" applyNumberFormat="1" applyFont="1" applyBorder="1"/>
    <xf numFmtId="165" fontId="5" fillId="0" borderId="13" xfId="1" applyFont="1" applyBorder="1"/>
    <xf numFmtId="43" fontId="12" fillId="0" borderId="13" xfId="1" applyNumberFormat="1" applyFont="1" applyBorder="1"/>
    <xf numFmtId="43" fontId="5" fillId="0" borderId="13" xfId="1" applyNumberFormat="1" applyFont="1" applyBorder="1" applyAlignment="1">
      <alignment vertical="top" wrapText="1"/>
    </xf>
    <xf numFmtId="43" fontId="5" fillId="0" borderId="13" xfId="0" applyNumberFormat="1" applyFont="1" applyBorder="1"/>
    <xf numFmtId="43" fontId="5" fillId="0" borderId="59" xfId="1" applyNumberFormat="1" applyFont="1" applyBorder="1"/>
    <xf numFmtId="43" fontId="5" fillId="0" borderId="27" xfId="1" applyNumberFormat="1" applyFont="1" applyBorder="1"/>
    <xf numFmtId="43" fontId="3" fillId="3" borderId="11" xfId="3" applyNumberFormat="1" applyFont="1" applyFill="1" applyBorder="1"/>
    <xf numFmtId="43" fontId="3" fillId="0" borderId="11" xfId="1" applyNumberFormat="1" applyBorder="1"/>
    <xf numFmtId="43" fontId="5" fillId="0" borderId="11" xfId="1" applyNumberFormat="1" applyFont="1" applyBorder="1"/>
    <xf numFmtId="43" fontId="5" fillId="0" borderId="37" xfId="1" applyNumberFormat="1" applyFont="1" applyBorder="1"/>
    <xf numFmtId="43" fontId="0" fillId="0" borderId="52" xfId="0" applyNumberFormat="1" applyBorder="1"/>
    <xf numFmtId="43" fontId="12" fillId="0" borderId="13" xfId="0" applyNumberFormat="1" applyFont="1" applyBorder="1"/>
    <xf numFmtId="0" fontId="5" fillId="0" borderId="9" xfId="0" applyFont="1" applyBorder="1" applyAlignment="1">
      <alignment horizontal="center" wrapText="1"/>
    </xf>
    <xf numFmtId="0" fontId="5" fillId="0" borderId="9" xfId="0" applyFont="1" applyBorder="1" applyAlignment="1">
      <alignment horizontal="center"/>
    </xf>
    <xf numFmtId="0" fontId="7" fillId="0" borderId="29" xfId="0" applyFont="1" applyBorder="1" applyAlignment="1">
      <alignment horizontal="center"/>
    </xf>
    <xf numFmtId="0" fontId="4" fillId="0" borderId="29" xfId="0" applyFont="1" applyBorder="1" applyAlignment="1">
      <alignment horizontal="center"/>
    </xf>
    <xf numFmtId="0" fontId="7" fillId="0" borderId="28" xfId="0" applyFont="1" applyBorder="1" applyAlignment="1">
      <alignment horizontal="center"/>
    </xf>
    <xf numFmtId="0" fontId="5" fillId="0" borderId="36" xfId="0" applyFont="1" applyBorder="1" applyAlignment="1">
      <alignment horizontal="center"/>
    </xf>
    <xf numFmtId="0" fontId="0" fillId="0" borderId="36" xfId="0"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25" fillId="0" borderId="64" xfId="5" applyFont="1" applyBorder="1" applyAlignment="1">
      <alignment horizontal="center"/>
    </xf>
    <xf numFmtId="0" fontId="25" fillId="0" borderId="0" xfId="5" applyFont="1" applyAlignment="1">
      <alignment horizontal="center"/>
    </xf>
    <xf numFmtId="0" fontId="25" fillId="0" borderId="65" xfId="5" applyFont="1" applyBorder="1" applyAlignment="1">
      <alignment horizontal="center"/>
    </xf>
    <xf numFmtId="0" fontId="6" fillId="0" borderId="64" xfId="5" applyFont="1" applyBorder="1" applyAlignment="1">
      <alignment horizontal="center"/>
    </xf>
    <xf numFmtId="0" fontId="6" fillId="0" borderId="0" xfId="5" applyFont="1" applyAlignment="1">
      <alignment horizontal="center"/>
    </xf>
    <xf numFmtId="0" fontId="6" fillId="0" borderId="65" xfId="5" applyFont="1" applyBorder="1" applyAlignment="1">
      <alignment horizontal="center"/>
    </xf>
    <xf numFmtId="0" fontId="25" fillId="0" borderId="66" xfId="5" applyFont="1" applyBorder="1" applyAlignment="1">
      <alignment horizontal="center"/>
    </xf>
    <xf numFmtId="0" fontId="25" fillId="0" borderId="67" xfId="5" applyFont="1" applyBorder="1" applyAlignment="1">
      <alignment horizontal="center"/>
    </xf>
    <xf numFmtId="0" fontId="25" fillId="0" borderId="68" xfId="5" applyFont="1" applyBorder="1" applyAlignment="1">
      <alignment horizontal="center"/>
    </xf>
    <xf numFmtId="0" fontId="31" fillId="0" borderId="54" xfId="5" applyFont="1" applyBorder="1" applyAlignment="1">
      <alignment vertical="center" wrapText="1"/>
    </xf>
    <xf numFmtId="0" fontId="31" fillId="0" borderId="13" xfId="5" applyFont="1" applyBorder="1" applyAlignment="1">
      <alignment vertical="center" wrapText="1"/>
    </xf>
    <xf numFmtId="0" fontId="31" fillId="0" borderId="73" xfId="5" applyFont="1" applyBorder="1" applyAlignment="1">
      <alignment vertical="center" wrapText="1"/>
    </xf>
    <xf numFmtId="0" fontId="31" fillId="0" borderId="69" xfId="5" applyFont="1" applyBorder="1" applyAlignment="1">
      <alignment vertical="center" wrapText="1"/>
    </xf>
    <xf numFmtId="0" fontId="31" fillId="0" borderId="76" xfId="5" applyFont="1" applyBorder="1" applyAlignment="1">
      <alignment vertical="center" wrapText="1"/>
    </xf>
    <xf numFmtId="43" fontId="3" fillId="0" borderId="69" xfId="5" applyNumberFormat="1" applyBorder="1" applyAlignment="1">
      <alignment vertical="center"/>
    </xf>
    <xf numFmtId="43" fontId="3" fillId="0" borderId="76" xfId="5" applyNumberFormat="1" applyBorder="1" applyAlignment="1">
      <alignment vertical="center"/>
    </xf>
    <xf numFmtId="43" fontId="15" fillId="0" borderId="69" xfId="5" applyNumberFormat="1" applyFont="1" applyBorder="1" applyAlignment="1">
      <alignment vertical="center"/>
    </xf>
    <xf numFmtId="43" fontId="15" fillId="0" borderId="76" xfId="5" applyNumberFormat="1" applyFont="1" applyBorder="1" applyAlignment="1">
      <alignment vertical="center"/>
    </xf>
  </cellXfs>
  <cellStyles count="8">
    <cellStyle name="Comma" xfId="1" builtinId="3"/>
    <cellStyle name="Comma 2" xfId="3" xr:uid="{5EA2F2FD-5235-4757-B185-D746A828B1E0}"/>
    <cellStyle name="Comma 2 2 2" xfId="6" xr:uid="{7C438D76-1E25-411C-943D-F23B3F459A2A}"/>
    <cellStyle name="Comma 3" xfId="7" xr:uid="{357E88F4-8ABE-4A78-A543-16F63CF408BE}"/>
    <cellStyle name="Explanatory Text" xfId="2" builtinId="53"/>
    <cellStyle name="Normal" xfId="0" builtinId="0"/>
    <cellStyle name="Normal 2 2 2" xfId="5" xr:uid="{B28D9DEC-A64E-4DE4-BCDF-B0D216597AF3}"/>
    <cellStyle name="Normal 3" xfId="4" xr:uid="{5448CECB-7EC1-483C-8D54-5A1F096193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B9EDB-9656-45D0-9A6D-2EE00270880A}">
  <dimension ref="A3:L60"/>
  <sheetViews>
    <sheetView tabSelected="1" topLeftCell="B15" zoomScaleNormal="100" workbookViewId="0">
      <selection activeCell="B26" sqref="B26"/>
    </sheetView>
  </sheetViews>
  <sheetFormatPr defaultRowHeight="14.25"/>
  <cols>
    <col min="1" max="1" width="6.140625" customWidth="1"/>
    <col min="2" max="2" width="63" customWidth="1"/>
    <col min="3" max="3" width="21.7109375" style="1" customWidth="1"/>
    <col min="4" max="4" width="18.85546875" style="1" customWidth="1"/>
    <col min="5" max="5" width="15.7109375" customWidth="1"/>
    <col min="7" max="7" width="16.42578125" customWidth="1"/>
    <col min="8" max="8" width="18.7109375" customWidth="1"/>
    <col min="9" max="9" width="16.5703125" customWidth="1"/>
    <col min="10" max="10" width="15.5703125" customWidth="1"/>
    <col min="11" max="11" width="15" bestFit="1" customWidth="1"/>
  </cols>
  <sheetData>
    <row r="3" spans="1:11" ht="15.75" customHeight="1">
      <c r="B3" s="92"/>
    </row>
    <row r="4" spans="1:11" ht="16.5" customHeight="1" thickBot="1">
      <c r="B4" s="92"/>
    </row>
    <row r="5" spans="1:11" ht="12.75" customHeight="1">
      <c r="B5" s="91"/>
      <c r="C5" s="90"/>
      <c r="D5" s="89"/>
    </row>
    <row r="6" spans="1:11" ht="12.75" customHeight="1">
      <c r="A6" s="88"/>
      <c r="B6" s="329"/>
      <c r="C6" s="329"/>
      <c r="D6" s="329"/>
    </row>
    <row r="7" spans="1:11" ht="12.75" customHeight="1">
      <c r="B7" s="329" t="s">
        <v>27</v>
      </c>
      <c r="C7" s="329"/>
      <c r="D7" s="329"/>
    </row>
    <row r="8" spans="1:11" ht="15" customHeight="1">
      <c r="B8" s="330" t="s">
        <v>26</v>
      </c>
      <c r="C8" s="330"/>
      <c r="D8" s="330"/>
    </row>
    <row r="9" spans="1:11" ht="12.75" customHeight="1">
      <c r="B9" s="329" t="s">
        <v>25</v>
      </c>
      <c r="C9" s="329"/>
      <c r="D9" s="329"/>
    </row>
    <row r="10" spans="1:11" ht="25.5" customHeight="1">
      <c r="B10" s="331" t="s">
        <v>156</v>
      </c>
      <c r="C10" s="331"/>
      <c r="D10" s="331"/>
      <c r="J10" s="87"/>
    </row>
    <row r="11" spans="1:11" ht="12.75" customHeight="1">
      <c r="B11" s="17"/>
      <c r="D11" s="86"/>
      <c r="J11" s="87"/>
    </row>
    <row r="12" spans="1:11" ht="9" customHeight="1">
      <c r="B12" s="17"/>
      <c r="D12" s="86"/>
    </row>
    <row r="13" spans="1:11" ht="3" hidden="1" customHeight="1">
      <c r="B13" s="17"/>
      <c r="D13" s="86"/>
    </row>
    <row r="14" spans="1:11" ht="6.75" customHeight="1">
      <c r="B14" s="85"/>
      <c r="C14" s="84"/>
      <c r="D14" s="83"/>
      <c r="E14" s="76"/>
      <c r="F14" s="76"/>
    </row>
    <row r="15" spans="1:11" ht="19.5" customHeight="1">
      <c r="B15" s="82"/>
      <c r="C15" s="81"/>
      <c r="D15" s="80" t="s">
        <v>24</v>
      </c>
      <c r="E15" s="76"/>
      <c r="F15" s="76"/>
    </row>
    <row r="16" spans="1:11" ht="49.5" customHeight="1">
      <c r="B16" s="79" t="s">
        <v>23</v>
      </c>
      <c r="C16" s="78" t="s">
        <v>157</v>
      </c>
      <c r="D16" s="77" t="s">
        <v>22</v>
      </c>
      <c r="E16" s="76"/>
      <c r="F16" s="76"/>
      <c r="H16" s="75"/>
      <c r="J16" s="74"/>
      <c r="K16" s="24"/>
    </row>
    <row r="17" spans="2:12" ht="12.75" customHeight="1">
      <c r="B17" s="63" t="s">
        <v>21</v>
      </c>
      <c r="C17" s="73"/>
      <c r="D17" s="70"/>
      <c r="G17" s="72"/>
      <c r="H17" s="36"/>
    </row>
    <row r="18" spans="2:12" ht="12.75" customHeight="1">
      <c r="B18" s="60" t="s">
        <v>20</v>
      </c>
      <c r="C18" s="42"/>
      <c r="D18" s="37"/>
      <c r="H18" s="7"/>
      <c r="J18" s="24"/>
    </row>
    <row r="19" spans="2:12" ht="12.75" customHeight="1">
      <c r="B19" s="60" t="s">
        <v>2</v>
      </c>
      <c r="C19" s="26">
        <v>25446429.77</v>
      </c>
      <c r="D19" s="37">
        <f>C19+-5972859.61</f>
        <v>19473570.16</v>
      </c>
      <c r="G19" s="71"/>
      <c r="H19" s="10"/>
      <c r="K19" s="2"/>
    </row>
    <row r="20" spans="2:12" ht="14.65" customHeight="1">
      <c r="B20" s="60" t="s">
        <v>19</v>
      </c>
      <c r="C20" s="59"/>
      <c r="D20" s="70"/>
      <c r="H20" s="2"/>
      <c r="K20" s="2"/>
      <c r="L20" s="24"/>
    </row>
    <row r="21" spans="2:12" ht="14.65" customHeight="1">
      <c r="B21" s="60" t="s">
        <v>18</v>
      </c>
      <c r="C21" s="22">
        <v>52495048.579999998</v>
      </c>
      <c r="D21" s="37">
        <f>C21+49699759.64</f>
        <v>102194808.22</v>
      </c>
      <c r="F21" s="24"/>
      <c r="H21" s="9"/>
      <c r="L21" s="24"/>
    </row>
    <row r="22" spans="2:12" ht="14.65" customHeight="1" thickBot="1">
      <c r="B22" s="35" t="s">
        <v>17</v>
      </c>
      <c r="C22" s="69">
        <f>SUM(C19:C21)</f>
        <v>77941478.349999994</v>
      </c>
      <c r="D22" s="55">
        <f>SUM(D19:D21)</f>
        <v>121668378.38</v>
      </c>
      <c r="E22" s="5"/>
      <c r="F22" s="43"/>
      <c r="G22" s="11"/>
      <c r="H22" s="10"/>
      <c r="L22" s="24"/>
    </row>
    <row r="23" spans="2:12" ht="12.75" customHeight="1">
      <c r="B23" s="68"/>
      <c r="C23" s="67"/>
      <c r="D23" s="66"/>
      <c r="F23" s="65"/>
      <c r="G23" s="50"/>
      <c r="H23" s="24"/>
      <c r="J23" s="64"/>
      <c r="L23" s="24"/>
    </row>
    <row r="24" spans="2:12" ht="12.75" customHeight="1">
      <c r="B24" s="63" t="s">
        <v>16</v>
      </c>
      <c r="C24" s="42"/>
      <c r="D24" s="37"/>
      <c r="F24" s="43"/>
      <c r="G24" s="11"/>
      <c r="L24" s="24"/>
    </row>
    <row r="25" spans="2:12" ht="12.75" customHeight="1">
      <c r="B25" s="60" t="s">
        <v>2</v>
      </c>
      <c r="C25" s="59">
        <v>100000000</v>
      </c>
      <c r="D25" s="62">
        <f>C25+147027852.6</f>
        <v>247027852.59999999</v>
      </c>
      <c r="F25" s="43"/>
      <c r="J25" s="2"/>
      <c r="L25" s="24"/>
    </row>
    <row r="26" spans="2:12" ht="12.75" customHeight="1">
      <c r="B26" s="60" t="s">
        <v>162</v>
      </c>
      <c r="C26" s="59">
        <f>2463.12*307</f>
        <v>756177.84</v>
      </c>
      <c r="D26" s="62">
        <f>C26+2730427.92</f>
        <v>3486605.76</v>
      </c>
      <c r="F26" s="43"/>
      <c r="J26" s="2"/>
      <c r="L26" s="24"/>
    </row>
    <row r="27" spans="2:12" ht="12.75" customHeight="1">
      <c r="B27" s="60" t="s">
        <v>15</v>
      </c>
      <c r="C27" s="59">
        <v>1134865.1499999999</v>
      </c>
      <c r="D27" s="62">
        <f>C27+4455634.32</f>
        <v>5590499.4700000007</v>
      </c>
      <c r="F27" s="43"/>
      <c r="H27" s="10"/>
      <c r="I27" s="24"/>
      <c r="J27" s="2"/>
      <c r="L27" s="24"/>
    </row>
    <row r="28" spans="2:12" ht="14.65" customHeight="1">
      <c r="B28" s="60" t="s">
        <v>14</v>
      </c>
      <c r="C28" s="59">
        <f>5510000+(95568.71*307)</f>
        <v>34849593.969999999</v>
      </c>
      <c r="D28" s="62">
        <f>C28+3730000</f>
        <v>38579593.969999999</v>
      </c>
      <c r="F28" s="61"/>
      <c r="G28" s="5"/>
      <c r="H28" s="11"/>
      <c r="J28" s="2"/>
      <c r="K28" s="2"/>
      <c r="L28" s="24"/>
    </row>
    <row r="29" spans="2:12" ht="14.65" customHeight="1">
      <c r="B29" s="60" t="s">
        <v>13</v>
      </c>
      <c r="C29" s="59">
        <v>841190</v>
      </c>
      <c r="D29" s="62">
        <f>C29+3341260</f>
        <v>4182450</v>
      </c>
      <c r="F29" s="61"/>
      <c r="G29" s="5"/>
      <c r="H29" s="11"/>
      <c r="J29" s="2"/>
      <c r="K29" s="2"/>
      <c r="L29" s="24"/>
    </row>
    <row r="30" spans="2:12" ht="14.65" customHeight="1">
      <c r="B30" s="60" t="s">
        <v>12</v>
      </c>
      <c r="C30" s="59">
        <v>0</v>
      </c>
      <c r="D30" s="58"/>
      <c r="F30" s="57"/>
      <c r="G30" s="50"/>
      <c r="H30" s="24"/>
      <c r="J30" s="2"/>
      <c r="L30" s="24"/>
    </row>
    <row r="31" spans="2:12" ht="13.5" customHeight="1" thickBot="1">
      <c r="B31" s="35" t="s">
        <v>11</v>
      </c>
      <c r="C31" s="56">
        <f>SUM(C22:C30)</f>
        <v>215523305.31</v>
      </c>
      <c r="D31" s="55">
        <f>SUM(D22:D30)</f>
        <v>420535380.18000007</v>
      </c>
      <c r="J31" s="2"/>
    </row>
    <row r="32" spans="2:12" ht="12.75" customHeight="1">
      <c r="B32" s="54"/>
      <c r="C32" s="53"/>
      <c r="D32" s="52"/>
      <c r="F32" s="51"/>
      <c r="G32" s="50"/>
      <c r="H32" s="24"/>
    </row>
    <row r="33" spans="2:9" ht="12.75" customHeight="1" thickBot="1">
      <c r="B33" s="49" t="s">
        <v>10</v>
      </c>
      <c r="C33" s="48"/>
      <c r="D33" s="47"/>
      <c r="G33" s="32"/>
      <c r="I33" s="46"/>
    </row>
    <row r="34" spans="2:9" ht="12.75" customHeight="1">
      <c r="B34" s="327" t="s">
        <v>9</v>
      </c>
      <c r="C34" s="45"/>
      <c r="D34" s="44"/>
      <c r="F34" s="43"/>
      <c r="G34" s="32"/>
      <c r="I34" s="2"/>
    </row>
    <row r="35" spans="2:9" ht="12.75" customHeight="1">
      <c r="B35" s="327"/>
      <c r="C35" s="42">
        <v>21924305.989999998</v>
      </c>
      <c r="D35" s="37">
        <f>C35+57284097.24</f>
        <v>79208403.230000004</v>
      </c>
      <c r="F35" s="10"/>
      <c r="G35" s="32"/>
      <c r="I35" s="2"/>
    </row>
    <row r="36" spans="2:9" ht="12.75" customHeight="1">
      <c r="B36" s="327" t="s">
        <v>8</v>
      </c>
      <c r="C36" s="38"/>
      <c r="D36" s="37">
        <f t="shared" ref="D36:D40" si="0">C36</f>
        <v>0</v>
      </c>
      <c r="G36" s="32"/>
      <c r="H36" s="24"/>
    </row>
    <row r="37" spans="2:9" ht="12.75" customHeight="1">
      <c r="B37" s="327"/>
      <c r="C37" s="42">
        <v>25308293.829999998</v>
      </c>
      <c r="D37" s="37">
        <f>C37+31412892.25</f>
        <v>56721186.079999998</v>
      </c>
      <c r="F37" s="7"/>
      <c r="G37" s="32"/>
      <c r="H37" s="39"/>
    </row>
    <row r="38" spans="2:9" ht="12.75" customHeight="1">
      <c r="B38" s="327" t="s">
        <v>7</v>
      </c>
      <c r="C38" s="38"/>
      <c r="D38" s="37">
        <f t="shared" si="0"/>
        <v>0</v>
      </c>
      <c r="G38" s="41"/>
      <c r="H38" s="24"/>
    </row>
    <row r="39" spans="2:9" ht="13.5" customHeight="1">
      <c r="B39" s="327"/>
      <c r="C39" s="42">
        <v>1267161.5</v>
      </c>
      <c r="D39" s="37">
        <f>C39+455400</f>
        <v>1722561.5</v>
      </c>
      <c r="G39" s="41"/>
      <c r="H39" s="24"/>
    </row>
    <row r="40" spans="2:9" ht="13.5" customHeight="1">
      <c r="B40" s="328" t="s">
        <v>6</v>
      </c>
      <c r="C40" s="38"/>
      <c r="D40" s="37">
        <f t="shared" si="0"/>
        <v>0</v>
      </c>
      <c r="F40" s="11"/>
      <c r="G40" s="41"/>
      <c r="H40" s="24"/>
    </row>
    <row r="41" spans="2:9" ht="13.5" customHeight="1">
      <c r="B41" s="328"/>
      <c r="C41" s="40">
        <v>24022501</v>
      </c>
      <c r="D41" s="37">
        <f>C41+21768480</f>
        <v>45790981</v>
      </c>
      <c r="G41" s="32"/>
      <c r="H41" s="39"/>
    </row>
    <row r="42" spans="2:9" ht="13.5" customHeight="1">
      <c r="B42" s="327" t="s">
        <v>5</v>
      </c>
      <c r="C42" s="38"/>
      <c r="D42" s="37"/>
      <c r="G42" s="32"/>
      <c r="H42" s="24"/>
    </row>
    <row r="43" spans="2:9" ht="13.5" customHeight="1">
      <c r="B43" s="327"/>
      <c r="C43" s="26">
        <v>19146890.649999999</v>
      </c>
      <c r="D43" s="37">
        <f>C43+16214591.49</f>
        <v>35361482.140000001</v>
      </c>
      <c r="F43" s="10"/>
      <c r="G43" s="32"/>
      <c r="H43" s="36"/>
    </row>
    <row r="44" spans="2:9" ht="13.5" customHeight="1" thickBot="1">
      <c r="B44" s="35" t="s">
        <v>4</v>
      </c>
      <c r="C44" s="34">
        <f>SUM(C34:C43)</f>
        <v>91669152.969999999</v>
      </c>
      <c r="D44" s="33">
        <f>SUM(D34:D43)</f>
        <v>218804613.94999999</v>
      </c>
      <c r="F44" s="24"/>
      <c r="G44" s="32"/>
      <c r="H44" s="31"/>
    </row>
    <row r="45" spans="2:9" ht="12.75" customHeight="1">
      <c r="B45" s="30" t="s">
        <v>3</v>
      </c>
      <c r="C45" s="29"/>
      <c r="D45" s="28"/>
      <c r="F45" s="10"/>
      <c r="G45" s="2"/>
      <c r="H45" s="24"/>
      <c r="I45" s="5"/>
    </row>
    <row r="46" spans="2:9" ht="12.75" customHeight="1">
      <c r="B46" s="27" t="s">
        <v>2</v>
      </c>
      <c r="C46" s="26">
        <v>41263332.950000003</v>
      </c>
      <c r="D46" s="25">
        <f>C46</f>
        <v>41263332.950000003</v>
      </c>
      <c r="F46" s="10"/>
      <c r="G46" s="5"/>
      <c r="H46" s="24"/>
    </row>
    <row r="47" spans="2:9" ht="12.75" customHeight="1">
      <c r="B47" s="23" t="s">
        <v>161</v>
      </c>
      <c r="C47" s="22">
        <f>269081.19*307</f>
        <v>82607925.329999998</v>
      </c>
      <c r="D47" s="21">
        <f>C47</f>
        <v>82607925.329999998</v>
      </c>
      <c r="F47" s="11"/>
      <c r="G47" s="2"/>
      <c r="H47" s="7"/>
    </row>
    <row r="48" spans="2:9" ht="13.5" customHeight="1" thickBot="1">
      <c r="B48" s="20" t="s">
        <v>1</v>
      </c>
      <c r="C48" s="19">
        <f>C46+C47</f>
        <v>123871258.28</v>
      </c>
      <c r="D48" s="18">
        <f>SUM(D46:D47)</f>
        <v>123871258.28</v>
      </c>
      <c r="F48" s="7"/>
      <c r="H48" s="11"/>
    </row>
    <row r="49" spans="2:8" ht="12.75" customHeight="1">
      <c r="B49" s="17"/>
      <c r="C49" s="16"/>
      <c r="D49" s="15"/>
      <c r="F49" s="7"/>
      <c r="G49" t="s">
        <v>0</v>
      </c>
      <c r="H49" s="11"/>
    </row>
    <row r="50" spans="2:8" ht="13.5" customHeight="1" thickBot="1">
      <c r="B50" s="14"/>
      <c r="C50" s="13"/>
      <c r="D50" s="12"/>
      <c r="H50" s="11"/>
    </row>
    <row r="51" spans="2:8">
      <c r="F51" s="7"/>
      <c r="H51" s="11"/>
    </row>
    <row r="52" spans="2:8">
      <c r="C52" s="8"/>
      <c r="D52" s="8"/>
      <c r="F52" s="10"/>
      <c r="G52" s="5"/>
      <c r="H52" s="5"/>
    </row>
    <row r="53" spans="2:8">
      <c r="C53" s="9"/>
      <c r="D53" s="8"/>
      <c r="G53" s="2"/>
      <c r="H53" s="5"/>
    </row>
    <row r="54" spans="2:8">
      <c r="C54" s="9"/>
      <c r="D54" s="8"/>
      <c r="F54" s="7"/>
      <c r="H54" s="5"/>
    </row>
    <row r="55" spans="2:8">
      <c r="C55" s="6"/>
      <c r="G55" s="2"/>
      <c r="H55" s="2"/>
    </row>
    <row r="56" spans="2:8">
      <c r="C56" s="6"/>
      <c r="F56" s="5"/>
    </row>
    <row r="57" spans="2:8" ht="15">
      <c r="C57" s="4"/>
      <c r="G57" s="2"/>
    </row>
    <row r="58" spans="2:8">
      <c r="C58" s="3"/>
    </row>
    <row r="60" spans="2:8">
      <c r="G60" s="2">
        <f>C53-D53</f>
        <v>0</v>
      </c>
    </row>
  </sheetData>
  <mergeCells count="10">
    <mergeCell ref="B36:B37"/>
    <mergeCell ref="B38:B39"/>
    <mergeCell ref="B40:B41"/>
    <mergeCell ref="B42:B43"/>
    <mergeCell ref="B6:D6"/>
    <mergeCell ref="B7:D7"/>
    <mergeCell ref="B8:D8"/>
    <mergeCell ref="B9:D9"/>
    <mergeCell ref="B10:D10"/>
    <mergeCell ref="B34:B35"/>
  </mergeCell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754A-52DE-46C1-A684-5BB9E8C348BA}">
  <dimension ref="A3:R85"/>
  <sheetViews>
    <sheetView topLeftCell="A25" zoomScaleNormal="100" workbookViewId="0">
      <selection activeCell="C68" sqref="C68"/>
    </sheetView>
  </sheetViews>
  <sheetFormatPr defaultRowHeight="12.75"/>
  <cols>
    <col min="1" max="1" width="58.42578125" customWidth="1"/>
    <col min="2" max="2" width="21.140625" style="93" customWidth="1"/>
    <col min="3" max="3" width="15.42578125" style="93" customWidth="1"/>
    <col min="4" max="4" width="16.28515625" style="71" customWidth="1"/>
    <col min="5" max="5" width="14.85546875" style="93" customWidth="1"/>
    <col min="6" max="6" width="15.42578125" style="10" customWidth="1"/>
    <col min="7" max="7" width="15.42578125" style="71" customWidth="1"/>
    <col min="8" max="8" width="53" customWidth="1"/>
    <col min="9" max="9" width="9.140625" style="7"/>
    <col min="11" max="11" width="12.85546875" bestFit="1" customWidth="1"/>
  </cols>
  <sheetData>
    <row r="3" spans="1:10" ht="15.75" customHeight="1">
      <c r="A3" s="92"/>
    </row>
    <row r="4" spans="1:10" ht="16.5" customHeight="1" thickBot="1">
      <c r="A4" s="94"/>
      <c r="B4" s="95"/>
      <c r="C4" s="95"/>
      <c r="D4" s="96"/>
      <c r="E4" s="95"/>
      <c r="F4" s="97"/>
      <c r="G4" s="96"/>
      <c r="H4" s="98"/>
      <c r="I4" s="99"/>
      <c r="J4" s="98"/>
    </row>
    <row r="8" spans="1:10" ht="12.75" customHeight="1">
      <c r="A8" s="334"/>
      <c r="B8" s="334"/>
      <c r="C8" s="334"/>
      <c r="D8" s="334"/>
      <c r="E8" s="334"/>
      <c r="F8" s="334"/>
      <c r="G8" s="334"/>
      <c r="H8" s="334"/>
      <c r="I8" s="334"/>
    </row>
    <row r="9" spans="1:10" ht="12.75" customHeight="1">
      <c r="A9" s="334" t="s">
        <v>28</v>
      </c>
      <c r="B9" s="334"/>
      <c r="C9" s="334"/>
      <c r="D9" s="334"/>
      <c r="E9" s="334"/>
      <c r="F9" s="334"/>
      <c r="G9" s="334"/>
      <c r="H9" s="334"/>
      <c r="I9" s="334"/>
    </row>
    <row r="10" spans="1:10" ht="15" customHeight="1">
      <c r="A10" s="335" t="s">
        <v>29</v>
      </c>
      <c r="B10" s="335"/>
      <c r="C10" s="335"/>
      <c r="D10" s="335"/>
      <c r="E10" s="335"/>
      <c r="F10" s="335"/>
      <c r="G10" s="335"/>
      <c r="H10" s="335"/>
      <c r="I10" s="335"/>
    </row>
    <row r="11" spans="1:10" ht="12.75" customHeight="1">
      <c r="A11" s="334" t="s">
        <v>30</v>
      </c>
      <c r="B11" s="334"/>
      <c r="C11" s="334"/>
      <c r="D11" s="334"/>
      <c r="E11" s="334"/>
      <c r="F11" s="334"/>
      <c r="G11" s="334"/>
      <c r="H11" s="334"/>
      <c r="I11" s="334"/>
    </row>
    <row r="12" spans="1:10" ht="12.75" customHeight="1">
      <c r="A12" s="334" t="s">
        <v>159</v>
      </c>
      <c r="B12" s="334"/>
      <c r="C12" s="334"/>
      <c r="D12" s="334"/>
      <c r="E12" s="334"/>
      <c r="F12" s="334"/>
      <c r="G12" s="334"/>
      <c r="H12" s="334"/>
      <c r="I12" s="334"/>
    </row>
    <row r="14" spans="1:10" ht="12.75" customHeight="1">
      <c r="E14" s="93" t="s">
        <v>31</v>
      </c>
      <c r="I14" s="100"/>
    </row>
    <row r="16" spans="1:10" ht="12.75" customHeight="1">
      <c r="A16" s="101"/>
      <c r="B16" s="102"/>
      <c r="C16" s="103"/>
      <c r="D16" s="104"/>
      <c r="E16" s="102"/>
      <c r="F16" s="105"/>
      <c r="G16" s="104"/>
      <c r="H16" s="106"/>
      <c r="I16" s="107"/>
      <c r="J16" s="106"/>
    </row>
    <row r="17" spans="1:11" ht="12.75" customHeight="1">
      <c r="A17" s="108"/>
      <c r="B17" s="333"/>
      <c r="C17" s="333"/>
      <c r="D17" s="333"/>
      <c r="E17" s="333"/>
      <c r="F17" s="333"/>
      <c r="G17" s="333"/>
      <c r="H17" s="109"/>
      <c r="I17" s="110"/>
      <c r="J17" s="109"/>
    </row>
    <row r="18" spans="1:11" ht="12.75" customHeight="1">
      <c r="A18" s="111" t="s">
        <v>32</v>
      </c>
      <c r="B18" s="332" t="s">
        <v>158</v>
      </c>
      <c r="C18" s="332"/>
      <c r="D18" s="332"/>
      <c r="E18" s="333" t="s">
        <v>33</v>
      </c>
      <c r="F18" s="333"/>
      <c r="G18" s="333"/>
      <c r="H18" s="109" t="s">
        <v>34</v>
      </c>
      <c r="I18" s="110" t="s">
        <v>35</v>
      </c>
      <c r="J18" s="109" t="s">
        <v>36</v>
      </c>
    </row>
    <row r="19" spans="1:11" ht="12.75" customHeight="1">
      <c r="A19" s="112"/>
      <c r="B19" s="113"/>
      <c r="C19" s="114"/>
      <c r="D19" s="115"/>
      <c r="E19" s="116"/>
      <c r="F19" s="117" t="s">
        <v>37</v>
      </c>
      <c r="G19" s="115"/>
      <c r="H19" s="118" t="s">
        <v>38</v>
      </c>
      <c r="I19" s="119" t="s">
        <v>39</v>
      </c>
      <c r="J19" s="118" t="s">
        <v>40</v>
      </c>
    </row>
    <row r="20" spans="1:11" ht="12.75" customHeight="1">
      <c r="A20" s="120"/>
      <c r="B20" s="124" t="s">
        <v>41</v>
      </c>
      <c r="C20" s="124" t="s">
        <v>42</v>
      </c>
      <c r="D20" s="318" t="s">
        <v>38</v>
      </c>
      <c r="E20" s="124" t="s">
        <v>41</v>
      </c>
      <c r="F20" s="315" t="s">
        <v>42</v>
      </c>
      <c r="G20" s="318" t="s">
        <v>38</v>
      </c>
      <c r="H20" s="121"/>
      <c r="I20" s="122"/>
      <c r="J20" s="121"/>
    </row>
    <row r="21" spans="1:11" ht="12.75" customHeight="1">
      <c r="A21" s="123" t="s">
        <v>43</v>
      </c>
      <c r="B21" s="232"/>
      <c r="C21" s="125"/>
      <c r="D21" s="126"/>
      <c r="E21" s="127"/>
      <c r="F21" s="128"/>
      <c r="G21" s="126"/>
      <c r="H21" s="129"/>
      <c r="I21" s="130"/>
      <c r="J21" s="129"/>
    </row>
    <row r="22" spans="1:11" ht="12.75" customHeight="1">
      <c r="A22" s="131" t="s">
        <v>44</v>
      </c>
      <c r="B22" s="132">
        <v>7136171</v>
      </c>
      <c r="C22" s="133">
        <v>20786350</v>
      </c>
      <c r="D22" s="134">
        <f>C22-B22</f>
        <v>13650179</v>
      </c>
      <c r="E22" s="135">
        <f>B22+5168725</f>
        <v>12304896</v>
      </c>
      <c r="F22" s="136">
        <f>C22</f>
        <v>20786350</v>
      </c>
      <c r="G22" s="126">
        <f t="shared" ref="G22:G34" si="0">F22-E22</f>
        <v>8481454</v>
      </c>
      <c r="H22" s="137" t="s">
        <v>45</v>
      </c>
      <c r="I22" s="130"/>
      <c r="J22" s="129"/>
    </row>
    <row r="23" spans="1:11" ht="12.75" customHeight="1">
      <c r="A23" s="138" t="s">
        <v>46</v>
      </c>
      <c r="B23" s="139">
        <v>936980</v>
      </c>
      <c r="C23" s="140">
        <v>1000000</v>
      </c>
      <c r="D23" s="134">
        <f t="shared" ref="D23:D26" si="1">C23-B23</f>
        <v>63020</v>
      </c>
      <c r="E23" s="135">
        <f>B23+420000</f>
        <v>1356980</v>
      </c>
      <c r="F23" s="136">
        <f t="shared" ref="E23:F35" si="2">C23</f>
        <v>1000000</v>
      </c>
      <c r="G23" s="126">
        <f t="shared" si="0"/>
        <v>-356980</v>
      </c>
      <c r="H23" s="137" t="s">
        <v>160</v>
      </c>
      <c r="I23" s="130"/>
      <c r="J23" s="129"/>
    </row>
    <row r="24" spans="1:11" ht="12.75" customHeight="1">
      <c r="A24" s="138" t="s">
        <v>48</v>
      </c>
      <c r="B24" s="141">
        <v>350000</v>
      </c>
      <c r="C24" s="140"/>
      <c r="D24" s="134">
        <f t="shared" si="1"/>
        <v>-350000</v>
      </c>
      <c r="E24" s="135">
        <f>B24+50000</f>
        <v>400000</v>
      </c>
      <c r="F24" s="136"/>
      <c r="G24" s="126"/>
      <c r="H24" s="137" t="s">
        <v>49</v>
      </c>
      <c r="I24" s="130"/>
      <c r="J24" s="129"/>
    </row>
    <row r="25" spans="1:11" ht="12.75" customHeight="1">
      <c r="A25" s="138" t="s">
        <v>50</v>
      </c>
      <c r="B25" s="124">
        <v>0</v>
      </c>
      <c r="C25" s="124">
        <v>15342500</v>
      </c>
      <c r="D25" s="134">
        <f t="shared" si="1"/>
        <v>15342500</v>
      </c>
      <c r="E25" s="135">
        <f t="shared" si="2"/>
        <v>0</v>
      </c>
      <c r="F25" s="136">
        <f t="shared" si="2"/>
        <v>15342500</v>
      </c>
      <c r="G25" s="126">
        <f t="shared" si="0"/>
        <v>15342500</v>
      </c>
      <c r="H25" s="137" t="s">
        <v>47</v>
      </c>
      <c r="I25" s="130"/>
      <c r="J25" s="129"/>
    </row>
    <row r="26" spans="1:11" ht="12.75" customHeight="1">
      <c r="A26" s="138" t="s">
        <v>51</v>
      </c>
      <c r="B26" s="142">
        <v>0</v>
      </c>
      <c r="C26" s="143">
        <v>0</v>
      </c>
      <c r="D26" s="134">
        <f t="shared" si="1"/>
        <v>0</v>
      </c>
      <c r="E26" s="135">
        <f t="shared" si="2"/>
        <v>0</v>
      </c>
      <c r="F26" s="136">
        <f t="shared" si="2"/>
        <v>0</v>
      </c>
      <c r="G26" s="126">
        <f t="shared" si="0"/>
        <v>0</v>
      </c>
      <c r="H26" s="137" t="s">
        <v>47</v>
      </c>
      <c r="I26" s="130"/>
      <c r="J26" s="129"/>
    </row>
    <row r="27" spans="1:11" ht="12.75" customHeight="1">
      <c r="A27" s="144" t="s">
        <v>52</v>
      </c>
      <c r="B27" s="71">
        <v>0</v>
      </c>
      <c r="C27" s="143">
        <v>61370000</v>
      </c>
      <c r="D27" s="145">
        <f>C27-B27</f>
        <v>61370000</v>
      </c>
      <c r="E27" s="135">
        <f>B27+28900400</f>
        <v>28900400</v>
      </c>
      <c r="F27" s="136">
        <f t="shared" si="2"/>
        <v>61370000</v>
      </c>
      <c r="G27" s="126">
        <f t="shared" si="0"/>
        <v>32469600</v>
      </c>
      <c r="H27" s="137" t="s">
        <v>45</v>
      </c>
      <c r="I27" s="130"/>
      <c r="J27" s="129"/>
    </row>
    <row r="28" spans="1:11" s="152" customFormat="1" ht="12.75" customHeight="1">
      <c r="A28" s="146" t="s">
        <v>53</v>
      </c>
      <c r="B28" s="132">
        <v>2920754.99</v>
      </c>
      <c r="C28" s="147">
        <v>65972750</v>
      </c>
      <c r="D28" s="148">
        <f t="shared" ref="D28:D34" si="3">C28-B28</f>
        <v>63051995.009999998</v>
      </c>
      <c r="E28" s="135">
        <f>B28+14178849.24</f>
        <v>17099604.23</v>
      </c>
      <c r="F28" s="136">
        <f t="shared" si="2"/>
        <v>65972750</v>
      </c>
      <c r="G28" s="149">
        <f t="shared" si="0"/>
        <v>48873145.769999996</v>
      </c>
      <c r="H28" s="137" t="s">
        <v>45</v>
      </c>
      <c r="I28" s="150"/>
      <c r="J28" s="151"/>
    </row>
    <row r="29" spans="1:11" ht="12.75" customHeight="1">
      <c r="A29" s="138" t="s">
        <v>54</v>
      </c>
      <c r="B29" s="132">
        <v>2983800</v>
      </c>
      <c r="C29" s="142">
        <v>3682200</v>
      </c>
      <c r="D29" s="145">
        <f t="shared" si="3"/>
        <v>698400</v>
      </c>
      <c r="E29" s="135">
        <f>B29+543800</f>
        <v>3527600</v>
      </c>
      <c r="F29" s="136">
        <f t="shared" si="2"/>
        <v>3682200</v>
      </c>
      <c r="G29" s="126">
        <f t="shared" si="0"/>
        <v>154600</v>
      </c>
      <c r="H29" s="137" t="s">
        <v>45</v>
      </c>
      <c r="I29" s="130"/>
      <c r="J29" s="129"/>
      <c r="K29" s="10"/>
    </row>
    <row r="30" spans="1:11" s="152" customFormat="1" ht="12.75" customHeight="1">
      <c r="A30" s="146" t="s">
        <v>55</v>
      </c>
      <c r="B30" s="132">
        <v>3228167</v>
      </c>
      <c r="C30" s="147">
        <v>64438500</v>
      </c>
      <c r="D30" s="148">
        <f t="shared" si="3"/>
        <v>61210333</v>
      </c>
      <c r="E30" s="135">
        <f>B30+5024140</f>
        <v>8252307</v>
      </c>
      <c r="F30" s="136">
        <f t="shared" si="2"/>
        <v>64438500</v>
      </c>
      <c r="G30" s="149">
        <f t="shared" si="0"/>
        <v>56186193</v>
      </c>
      <c r="H30" s="137" t="s">
        <v>45</v>
      </c>
      <c r="I30" s="150"/>
      <c r="J30" s="151"/>
      <c r="K30" s="153"/>
    </row>
    <row r="31" spans="1:11" ht="12.75" customHeight="1">
      <c r="A31" s="138" t="s">
        <v>56</v>
      </c>
      <c r="B31" s="71">
        <v>2515565</v>
      </c>
      <c r="C31" s="142">
        <v>5523300</v>
      </c>
      <c r="D31" s="145">
        <f>C31-B31</f>
        <v>3007735</v>
      </c>
      <c r="E31" s="135">
        <f>B31+4006970</f>
        <v>6522535</v>
      </c>
      <c r="F31" s="136">
        <f t="shared" si="2"/>
        <v>5523300</v>
      </c>
      <c r="G31" s="149">
        <f t="shared" si="0"/>
        <v>-999235</v>
      </c>
      <c r="H31" s="137" t="s">
        <v>160</v>
      </c>
      <c r="I31" s="130"/>
      <c r="J31" s="129"/>
    </row>
    <row r="32" spans="1:11" ht="12.75" customHeight="1">
      <c r="A32" s="138" t="s">
        <v>57</v>
      </c>
      <c r="B32" s="132">
        <v>650000</v>
      </c>
      <c r="C32" s="142">
        <v>1227400</v>
      </c>
      <c r="D32" s="145">
        <f>C32-B32</f>
        <v>577400</v>
      </c>
      <c r="E32" s="135">
        <f>B32+325900</f>
        <v>975900</v>
      </c>
      <c r="F32" s="136">
        <f t="shared" si="2"/>
        <v>1227400</v>
      </c>
      <c r="G32" s="126">
        <f t="shared" si="0"/>
        <v>251500</v>
      </c>
      <c r="H32" s="137" t="s">
        <v>45</v>
      </c>
      <c r="I32" s="130"/>
      <c r="J32" s="129"/>
    </row>
    <row r="33" spans="1:18" s="157" customFormat="1" ht="12.75" customHeight="1">
      <c r="A33" s="146" t="s">
        <v>58</v>
      </c>
      <c r="B33" s="132">
        <v>1098868</v>
      </c>
      <c r="C33" s="147">
        <v>36822000</v>
      </c>
      <c r="D33" s="148">
        <f t="shared" si="3"/>
        <v>35723132</v>
      </c>
      <c r="E33" s="135">
        <f>B33+522000</f>
        <v>1620868</v>
      </c>
      <c r="F33" s="136">
        <f t="shared" si="2"/>
        <v>36822000</v>
      </c>
      <c r="G33" s="149">
        <f t="shared" si="0"/>
        <v>35201132</v>
      </c>
      <c r="H33" s="137" t="s">
        <v>45</v>
      </c>
      <c r="I33" s="154"/>
      <c r="J33" s="155"/>
      <c r="K33" s="156"/>
      <c r="M33" s="158"/>
      <c r="R33" s="159"/>
    </row>
    <row r="34" spans="1:18" ht="12.75" customHeight="1">
      <c r="A34" s="138" t="s">
        <v>59</v>
      </c>
      <c r="B34" s="141">
        <v>104000</v>
      </c>
      <c r="C34" s="142">
        <v>0</v>
      </c>
      <c r="D34" s="145">
        <f t="shared" si="3"/>
        <v>-104000</v>
      </c>
      <c r="E34" s="135">
        <f>B34+72700</f>
        <v>176700</v>
      </c>
      <c r="F34" s="136">
        <f t="shared" si="2"/>
        <v>0</v>
      </c>
      <c r="G34" s="126">
        <f t="shared" si="0"/>
        <v>-176700</v>
      </c>
      <c r="H34" s="137" t="s">
        <v>49</v>
      </c>
      <c r="I34" s="130"/>
      <c r="J34" s="129"/>
      <c r="R34" s="43"/>
    </row>
    <row r="35" spans="1:18" ht="13.5" customHeight="1" thickBot="1">
      <c r="A35" s="160" t="s">
        <v>60</v>
      </c>
      <c r="B35" s="161"/>
      <c r="C35" s="125"/>
      <c r="D35" s="162"/>
      <c r="E35" s="163"/>
      <c r="F35" s="164">
        <f t="shared" si="2"/>
        <v>0</v>
      </c>
      <c r="G35" s="126"/>
      <c r="H35" s="129"/>
      <c r="I35" s="130"/>
      <c r="J35" s="129"/>
      <c r="R35" s="11"/>
    </row>
    <row r="36" spans="1:18" ht="13.5" customHeight="1" thickBot="1">
      <c r="A36" s="165" t="s">
        <v>61</v>
      </c>
      <c r="B36" s="166">
        <f>SUM(B21:B35)</f>
        <v>21924305.990000002</v>
      </c>
      <c r="C36" s="167">
        <f>SUM(C22:C35)</f>
        <v>276165000</v>
      </c>
      <c r="D36" s="168"/>
      <c r="E36" s="169">
        <f>SUM(E22:E35)</f>
        <v>81137790.230000004</v>
      </c>
      <c r="F36" s="170">
        <f>SUM(F22:F35)</f>
        <v>276165000</v>
      </c>
      <c r="G36" s="171"/>
      <c r="H36" s="172"/>
      <c r="I36" s="173"/>
      <c r="J36" s="174"/>
    </row>
    <row r="37" spans="1:18" ht="12.75" customHeight="1">
      <c r="A37" s="175"/>
      <c r="B37" s="176"/>
      <c r="C37" s="176"/>
      <c r="D37" s="177"/>
      <c r="E37" s="177"/>
      <c r="F37" s="178"/>
      <c r="G37" s="177"/>
      <c r="H37" s="179"/>
      <c r="I37" s="180"/>
      <c r="J37" s="179"/>
    </row>
    <row r="38" spans="1:18" ht="12.75" customHeight="1">
      <c r="A38" s="181" t="s">
        <v>62</v>
      </c>
      <c r="B38" s="182">
        <v>0</v>
      </c>
      <c r="C38" s="182"/>
      <c r="D38" s="183"/>
      <c r="E38" s="182"/>
      <c r="F38" s="184"/>
      <c r="G38" s="183"/>
      <c r="H38" s="185"/>
      <c r="I38" s="186"/>
      <c r="J38" s="185"/>
    </row>
    <row r="39" spans="1:18" ht="12.75" customHeight="1">
      <c r="A39" s="187" t="s">
        <v>63</v>
      </c>
      <c r="B39" s="202">
        <v>0</v>
      </c>
      <c r="C39" s="188">
        <v>0</v>
      </c>
      <c r="D39" s="207">
        <f t="shared" ref="D39:D52" si="4">C39-B39</f>
        <v>0</v>
      </c>
      <c r="E39" s="202"/>
      <c r="F39" s="208">
        <f>C39</f>
        <v>0</v>
      </c>
      <c r="G39" s="126">
        <f t="shared" ref="G39:G52" si="5">F39-E39</f>
        <v>0</v>
      </c>
      <c r="H39" s="137" t="s">
        <v>64</v>
      </c>
      <c r="I39" s="186"/>
      <c r="J39" s="185"/>
    </row>
    <row r="40" spans="1:18" ht="12.75" customHeight="1">
      <c r="A40" s="187" t="s">
        <v>65</v>
      </c>
      <c r="B40" s="124">
        <v>0</v>
      </c>
      <c r="C40" s="124">
        <v>0</v>
      </c>
      <c r="D40" s="132">
        <f t="shared" si="4"/>
        <v>0</v>
      </c>
      <c r="E40" s="135"/>
      <c r="F40" s="315">
        <f t="shared" ref="F40:F52" si="6">C40</f>
        <v>0</v>
      </c>
      <c r="G40" s="231">
        <f t="shared" si="5"/>
        <v>0</v>
      </c>
      <c r="H40" s="137" t="s">
        <v>64</v>
      </c>
      <c r="I40" s="186"/>
      <c r="J40" s="185"/>
      <c r="K40" s="10"/>
    </row>
    <row r="41" spans="1:18" ht="12.75" customHeight="1">
      <c r="A41" s="187" t="s">
        <v>66</v>
      </c>
      <c r="B41" s="124">
        <v>0</v>
      </c>
      <c r="C41" s="124">
        <v>0</v>
      </c>
      <c r="D41" s="132">
        <f t="shared" si="4"/>
        <v>0</v>
      </c>
      <c r="E41" s="135"/>
      <c r="F41" s="315">
        <f t="shared" si="6"/>
        <v>0</v>
      </c>
      <c r="G41" s="231">
        <f t="shared" si="5"/>
        <v>0</v>
      </c>
      <c r="H41" s="137" t="s">
        <v>64</v>
      </c>
      <c r="I41" s="186"/>
      <c r="J41" s="185"/>
      <c r="M41" s="5"/>
    </row>
    <row r="42" spans="1:18" s="152" customFormat="1" ht="12.75" customHeight="1">
      <c r="A42" s="191" t="s">
        <v>67</v>
      </c>
      <c r="B42" s="192">
        <v>1132338.6499999999</v>
      </c>
      <c r="C42" s="316">
        <v>0</v>
      </c>
      <c r="D42" s="132">
        <f t="shared" si="4"/>
        <v>-1132338.6499999999</v>
      </c>
      <c r="E42" s="192">
        <f>B42</f>
        <v>1132338.6499999999</v>
      </c>
      <c r="F42" s="315">
        <f t="shared" si="6"/>
        <v>0</v>
      </c>
      <c r="G42" s="231">
        <f t="shared" si="5"/>
        <v>-1132338.6499999999</v>
      </c>
      <c r="H42" s="137" t="s">
        <v>49</v>
      </c>
      <c r="I42" s="195"/>
      <c r="J42" s="196"/>
      <c r="K42" s="197"/>
    </row>
    <row r="43" spans="1:18" ht="12.75" customHeight="1">
      <c r="A43" s="198" t="s">
        <v>68</v>
      </c>
      <c r="B43" s="317">
        <v>0</v>
      </c>
      <c r="C43" s="124">
        <v>0</v>
      </c>
      <c r="D43" s="132">
        <f t="shared" si="4"/>
        <v>0</v>
      </c>
      <c r="E43" s="135"/>
      <c r="F43" s="315">
        <f t="shared" si="6"/>
        <v>0</v>
      </c>
      <c r="G43" s="231">
        <f t="shared" si="5"/>
        <v>0</v>
      </c>
      <c r="H43" s="137" t="s">
        <v>64</v>
      </c>
      <c r="I43" s="186"/>
      <c r="J43" s="185"/>
      <c r="K43" s="11"/>
    </row>
    <row r="44" spans="1:18" s="152" customFormat="1" ht="12.75" customHeight="1">
      <c r="A44" s="191" t="s">
        <v>69</v>
      </c>
      <c r="B44" s="313">
        <v>323450</v>
      </c>
      <c r="C44" s="147">
        <v>3007150</v>
      </c>
      <c r="D44" s="148">
        <f t="shared" si="4"/>
        <v>2683700</v>
      </c>
      <c r="E44" s="314">
        <f>B44+700680</f>
        <v>1024130</v>
      </c>
      <c r="F44" s="136">
        <f t="shared" si="6"/>
        <v>3007150</v>
      </c>
      <c r="G44" s="149">
        <f t="shared" si="5"/>
        <v>1983020</v>
      </c>
      <c r="H44" s="137" t="s">
        <v>45</v>
      </c>
      <c r="I44" s="195"/>
      <c r="J44" s="196"/>
      <c r="K44" s="153"/>
      <c r="M44" s="199"/>
    </row>
    <row r="45" spans="1:18" ht="12.75" customHeight="1">
      <c r="A45" s="131" t="s">
        <v>70</v>
      </c>
      <c r="B45" s="200">
        <v>4762800</v>
      </c>
      <c r="C45" s="190">
        <v>2147950</v>
      </c>
      <c r="D45" s="145">
        <f t="shared" si="4"/>
        <v>-2614850</v>
      </c>
      <c r="E45" s="135">
        <f>B45+102000</f>
        <v>4864800</v>
      </c>
      <c r="F45" s="194">
        <f t="shared" si="6"/>
        <v>2147950</v>
      </c>
      <c r="G45" s="126">
        <f t="shared" si="5"/>
        <v>-2716850</v>
      </c>
      <c r="H45" s="137" t="s">
        <v>160</v>
      </c>
      <c r="I45" s="186"/>
      <c r="J45" s="185"/>
    </row>
    <row r="46" spans="1:18" ht="12.75" customHeight="1" thickBot="1">
      <c r="A46" s="201" t="s">
        <v>71</v>
      </c>
      <c r="B46" s="143">
        <v>104000</v>
      </c>
      <c r="C46" s="182">
        <v>32088900</v>
      </c>
      <c r="D46" s="145">
        <f t="shared" si="4"/>
        <v>31984900</v>
      </c>
      <c r="E46" s="135">
        <f>B46+0</f>
        <v>104000</v>
      </c>
      <c r="F46" s="194">
        <f t="shared" si="6"/>
        <v>32088900</v>
      </c>
      <c r="G46" s="126">
        <f t="shared" si="5"/>
        <v>31984900</v>
      </c>
      <c r="H46" s="137" t="s">
        <v>45</v>
      </c>
      <c r="I46" s="186"/>
      <c r="J46" s="185"/>
    </row>
    <row r="47" spans="1:18" ht="12.75" customHeight="1" thickBot="1">
      <c r="A47" s="187" t="s">
        <v>72</v>
      </c>
      <c r="B47" s="202">
        <v>0</v>
      </c>
      <c r="C47" s="182">
        <v>0</v>
      </c>
      <c r="D47" s="145">
        <f t="shared" si="4"/>
        <v>0</v>
      </c>
      <c r="E47" s="135">
        <f t="shared" ref="E47" si="7">B47</f>
        <v>0</v>
      </c>
      <c r="F47" s="194">
        <f t="shared" si="6"/>
        <v>0</v>
      </c>
      <c r="G47" s="126">
        <f t="shared" si="5"/>
        <v>0</v>
      </c>
      <c r="H47" s="137" t="s">
        <v>47</v>
      </c>
      <c r="I47" s="203"/>
      <c r="J47" s="185"/>
    </row>
    <row r="48" spans="1:18" ht="12.75" customHeight="1">
      <c r="A48" s="131" t="s">
        <v>73</v>
      </c>
      <c r="B48" s="132">
        <v>1327250</v>
      </c>
      <c r="C48" s="190">
        <v>18050000</v>
      </c>
      <c r="D48" s="145">
        <f t="shared" si="4"/>
        <v>16722750</v>
      </c>
      <c r="E48" s="135">
        <f>B48+18041300</f>
        <v>19368550</v>
      </c>
      <c r="F48" s="194">
        <f t="shared" si="6"/>
        <v>18050000</v>
      </c>
      <c r="G48" s="126">
        <f t="shared" si="5"/>
        <v>-1318550</v>
      </c>
      <c r="H48" s="137" t="s">
        <v>160</v>
      </c>
      <c r="I48" s="186"/>
      <c r="J48" s="185"/>
    </row>
    <row r="49" spans="1:13" ht="12.75" customHeight="1">
      <c r="A49" s="131" t="s">
        <v>74</v>
      </c>
      <c r="B49" s="124">
        <v>1126512.6000000001</v>
      </c>
      <c r="C49" s="190">
        <v>12274000</v>
      </c>
      <c r="D49" s="126">
        <f t="shared" si="4"/>
        <v>11147487.4</v>
      </c>
      <c r="E49" s="135">
        <f>B49+0</f>
        <v>1126512.6000000001</v>
      </c>
      <c r="F49" s="184">
        <f t="shared" si="6"/>
        <v>12274000</v>
      </c>
      <c r="G49" s="126">
        <f t="shared" si="5"/>
        <v>11147487.4</v>
      </c>
      <c r="H49" s="137" t="s">
        <v>45</v>
      </c>
      <c r="I49" s="186"/>
      <c r="J49" s="185"/>
    </row>
    <row r="50" spans="1:13" s="152" customFormat="1" ht="12.75" customHeight="1">
      <c r="A50" s="191" t="s">
        <v>75</v>
      </c>
      <c r="B50" s="132">
        <v>897167.58</v>
      </c>
      <c r="C50" s="193">
        <v>0</v>
      </c>
      <c r="D50" s="126">
        <f t="shared" si="4"/>
        <v>-897167.58</v>
      </c>
      <c r="E50" s="135">
        <f>B50+1339496.25</f>
        <v>2236663.83</v>
      </c>
      <c r="F50" s="184">
        <f t="shared" si="6"/>
        <v>0</v>
      </c>
      <c r="G50" s="126">
        <f t="shared" si="5"/>
        <v>-2236663.83</v>
      </c>
      <c r="H50" s="137" t="s">
        <v>49</v>
      </c>
      <c r="I50" s="195"/>
      <c r="J50" s="196"/>
      <c r="K50" s="65"/>
      <c r="M50" s="61"/>
    </row>
    <row r="51" spans="1:13" ht="12.75" customHeight="1">
      <c r="A51" s="138" t="s">
        <v>76</v>
      </c>
      <c r="B51" s="132">
        <v>13846275</v>
      </c>
      <c r="C51" s="204">
        <v>67507000</v>
      </c>
      <c r="D51" s="126">
        <f t="shared" si="4"/>
        <v>53660725</v>
      </c>
      <c r="E51" s="135">
        <f>B51+12474438</f>
        <v>26320713</v>
      </c>
      <c r="F51" s="184">
        <f t="shared" si="6"/>
        <v>67507000</v>
      </c>
      <c r="G51" s="126">
        <f t="shared" si="5"/>
        <v>41186287</v>
      </c>
      <c r="H51" s="137" t="s">
        <v>45</v>
      </c>
      <c r="I51" s="186"/>
      <c r="J51" s="185"/>
      <c r="K51" s="11"/>
    </row>
    <row r="52" spans="1:13" s="152" customFormat="1" ht="12.75" customHeight="1" thickBot="1">
      <c r="A52" s="205" t="s">
        <v>77</v>
      </c>
      <c r="B52" s="71">
        <v>1788500</v>
      </c>
      <c r="C52" s="206">
        <v>13501400</v>
      </c>
      <c r="D52" s="207">
        <f t="shared" si="4"/>
        <v>11712900</v>
      </c>
      <c r="E52" s="135">
        <f>B52+1809730</f>
        <v>3598230</v>
      </c>
      <c r="F52" s="208">
        <f t="shared" si="6"/>
        <v>13501400</v>
      </c>
      <c r="G52" s="207">
        <f t="shared" si="5"/>
        <v>9903170</v>
      </c>
      <c r="H52" s="137" t="s">
        <v>45</v>
      </c>
      <c r="I52" s="195"/>
      <c r="J52" s="196"/>
      <c r="K52" s="61"/>
      <c r="M52" s="197"/>
    </row>
    <row r="53" spans="1:13" ht="12.75" customHeight="1" thickBot="1">
      <c r="A53" s="209" t="s">
        <v>61</v>
      </c>
      <c r="B53" s="210">
        <f>SUM(B38:B52)</f>
        <v>25308293.829999998</v>
      </c>
      <c r="C53" s="211">
        <f>SUM(C39:C52)</f>
        <v>148576400</v>
      </c>
      <c r="D53" s="212"/>
      <c r="E53" s="213">
        <f>SUM(E39:E52)</f>
        <v>59775938.079999998</v>
      </c>
      <c r="F53" s="214">
        <f>SUM(F39:F52)</f>
        <v>148576400</v>
      </c>
      <c r="G53" s="215"/>
      <c r="H53" s="216"/>
      <c r="I53" s="173"/>
      <c r="J53" s="174"/>
    </row>
    <row r="54" spans="1:13" ht="12.75" customHeight="1">
      <c r="A54" s="217"/>
      <c r="B54" s="176"/>
      <c r="C54" s="176"/>
      <c r="D54" s="177"/>
      <c r="E54" s="177"/>
      <c r="F54" s="178"/>
      <c r="G54" s="177"/>
      <c r="H54" s="179"/>
      <c r="I54" s="180"/>
      <c r="J54" s="179"/>
      <c r="M54" s="43"/>
    </row>
    <row r="55" spans="1:13" ht="12.75" customHeight="1">
      <c r="A55" s="123" t="s">
        <v>78</v>
      </c>
      <c r="B55" s="218"/>
      <c r="C55" s="182"/>
      <c r="D55" s="183"/>
      <c r="E55" s="182"/>
      <c r="F55" s="184"/>
      <c r="G55" s="183"/>
      <c r="H55" s="185"/>
      <c r="I55" s="186"/>
      <c r="J55" s="185"/>
      <c r="M55" s="43"/>
    </row>
    <row r="56" spans="1:13" ht="12.75" customHeight="1">
      <c r="A56" s="138" t="s">
        <v>79</v>
      </c>
      <c r="B56" s="71">
        <v>567011.5</v>
      </c>
      <c r="C56" s="182">
        <v>3068500</v>
      </c>
      <c r="D56" s="126">
        <f>C56-B56</f>
        <v>2501488.5</v>
      </c>
      <c r="E56" s="182">
        <f>B56+437100</f>
        <v>1004111.5</v>
      </c>
      <c r="F56" s="184">
        <f>C56</f>
        <v>3068500</v>
      </c>
      <c r="G56" s="126">
        <f>F56-E56</f>
        <v>2064388.5</v>
      </c>
      <c r="H56" s="137" t="s">
        <v>45</v>
      </c>
      <c r="I56" s="186"/>
      <c r="J56" s="185"/>
      <c r="M56" s="11"/>
    </row>
    <row r="57" spans="1:13" ht="12.75" customHeight="1" thickBot="1">
      <c r="A57" s="219" t="s">
        <v>80</v>
      </c>
      <c r="B57" s="141">
        <v>700150</v>
      </c>
      <c r="C57" s="190">
        <v>11660300</v>
      </c>
      <c r="D57" s="126">
        <f>C57-B57</f>
        <v>10960150</v>
      </c>
      <c r="E57" s="189">
        <f>B57+18300</f>
        <v>718450</v>
      </c>
      <c r="F57" s="184">
        <f>C57</f>
        <v>11660300</v>
      </c>
      <c r="G57" s="126">
        <f>F57-E57</f>
        <v>10941850</v>
      </c>
      <c r="H57" s="137" t="s">
        <v>45</v>
      </c>
      <c r="I57" s="186"/>
      <c r="J57" s="185"/>
    </row>
    <row r="58" spans="1:13" ht="12.75" customHeight="1" thickBot="1">
      <c r="A58" s="165" t="s">
        <v>61</v>
      </c>
      <c r="B58" s="220">
        <f>B56+B57</f>
        <v>1267161.5</v>
      </c>
      <c r="C58" s="221">
        <f>C56+C57</f>
        <v>14728800</v>
      </c>
      <c r="D58" s="222"/>
      <c r="E58" s="223">
        <f>SUM(E56:E57)</f>
        <v>1722561.5</v>
      </c>
      <c r="F58" s="224">
        <f>F56+F57</f>
        <v>14728800</v>
      </c>
      <c r="G58" s="225"/>
      <c r="H58" s="172"/>
      <c r="I58" s="173"/>
      <c r="J58" s="174"/>
      <c r="M58" s="11"/>
    </row>
    <row r="59" spans="1:13" ht="12.75" customHeight="1">
      <c r="A59" s="175"/>
      <c r="B59" s="176"/>
      <c r="C59" s="176"/>
      <c r="D59" s="176"/>
      <c r="E59" s="177"/>
      <c r="F59" s="178"/>
      <c r="G59" s="177"/>
      <c r="H59" s="179"/>
      <c r="I59" s="180"/>
      <c r="J59" s="179"/>
    </row>
    <row r="60" spans="1:13" ht="12.75" customHeight="1">
      <c r="A60" s="181" t="s">
        <v>81</v>
      </c>
      <c r="B60" s="226">
        <v>0</v>
      </c>
      <c r="C60" s="182"/>
      <c r="D60" s="325"/>
      <c r="E60" s="202"/>
      <c r="F60" s="184"/>
      <c r="G60" s="183"/>
      <c r="H60" s="185"/>
      <c r="I60" s="186"/>
      <c r="J60" s="185"/>
    </row>
    <row r="61" spans="1:13" ht="13.5" customHeight="1">
      <c r="A61" s="131" t="s">
        <v>82</v>
      </c>
      <c r="B61" s="218">
        <v>0</v>
      </c>
      <c r="C61" s="319">
        <v>0</v>
      </c>
      <c r="D61" s="132">
        <f t="shared" ref="D61:D68" si="8">C61-B61</f>
        <v>0</v>
      </c>
      <c r="E61" s="135"/>
      <c r="F61" s="194">
        <f>C61</f>
        <v>0</v>
      </c>
      <c r="G61" s="126">
        <f t="shared" ref="G61:G68" si="9">F61-E61</f>
        <v>0</v>
      </c>
      <c r="H61" s="137" t="s">
        <v>83</v>
      </c>
      <c r="I61" s="186"/>
      <c r="J61" s="185"/>
      <c r="M61" s="11"/>
    </row>
    <row r="62" spans="1:13" ht="13.5" customHeight="1">
      <c r="A62" s="131" t="s">
        <v>84</v>
      </c>
      <c r="B62" s="227">
        <v>2625200</v>
      </c>
      <c r="C62" s="320">
        <v>0</v>
      </c>
      <c r="D62" s="132">
        <f t="shared" si="8"/>
        <v>-2625200</v>
      </c>
      <c r="E62" s="135">
        <f>B62</f>
        <v>2625200</v>
      </c>
      <c r="F62" s="194">
        <f t="shared" ref="F62:F68" si="10">C62</f>
        <v>0</v>
      </c>
      <c r="G62" s="126">
        <f t="shared" si="9"/>
        <v>-2625200</v>
      </c>
      <c r="H62" s="137" t="s">
        <v>49</v>
      </c>
      <c r="I62" s="186"/>
      <c r="J62" s="185"/>
      <c r="M62" s="43"/>
    </row>
    <row r="63" spans="1:13" s="152" customFormat="1" ht="13.5" customHeight="1">
      <c r="A63" s="228" t="s">
        <v>85</v>
      </c>
      <c r="B63" s="200">
        <v>0</v>
      </c>
      <c r="C63" s="321">
        <v>82849500</v>
      </c>
      <c r="D63" s="326">
        <f t="shared" si="8"/>
        <v>82849500</v>
      </c>
      <c r="E63" s="124">
        <f>B63</f>
        <v>0</v>
      </c>
      <c r="F63" s="194">
        <f t="shared" si="10"/>
        <v>82849500</v>
      </c>
      <c r="G63" s="149">
        <f t="shared" si="9"/>
        <v>82849500</v>
      </c>
      <c r="H63" s="137" t="s">
        <v>47</v>
      </c>
      <c r="I63" s="195"/>
      <c r="J63" s="229"/>
      <c r="K63" s="65"/>
      <c r="M63" s="61"/>
    </row>
    <row r="64" spans="1:13" ht="13.5" customHeight="1">
      <c r="A64" s="230" t="s">
        <v>86</v>
      </c>
      <c r="B64" s="132">
        <v>7824901</v>
      </c>
      <c r="C64" s="322">
        <v>52164500</v>
      </c>
      <c r="D64" s="132">
        <f t="shared" si="8"/>
        <v>44339599</v>
      </c>
      <c r="E64" s="124">
        <f>B64+8928480</f>
        <v>16753381</v>
      </c>
      <c r="F64" s="194">
        <f t="shared" si="10"/>
        <v>52164500</v>
      </c>
      <c r="G64" s="126">
        <f t="shared" si="9"/>
        <v>35411119</v>
      </c>
      <c r="H64" s="137" t="s">
        <v>45</v>
      </c>
      <c r="I64" s="186"/>
      <c r="J64" s="185"/>
    </row>
    <row r="65" spans="1:13" ht="13.5" customHeight="1">
      <c r="A65" s="230" t="s">
        <v>87</v>
      </c>
      <c r="B65" s="124">
        <v>0</v>
      </c>
      <c r="C65" s="323">
        <v>3068500</v>
      </c>
      <c r="D65" s="132">
        <f t="shared" si="8"/>
        <v>3068500</v>
      </c>
      <c r="E65" s="124">
        <f t="shared" ref="E65:E66" si="11">B65</f>
        <v>0</v>
      </c>
      <c r="F65" s="194">
        <f t="shared" si="10"/>
        <v>3068500</v>
      </c>
      <c r="G65" s="126">
        <f t="shared" si="9"/>
        <v>3068500</v>
      </c>
      <c r="H65" s="137" t="s">
        <v>47</v>
      </c>
      <c r="I65" s="186"/>
      <c r="J65" s="185"/>
    </row>
    <row r="66" spans="1:13" ht="13.5" customHeight="1">
      <c r="A66" s="230" t="s">
        <v>88</v>
      </c>
      <c r="B66" s="232">
        <v>0</v>
      </c>
      <c r="C66" s="324">
        <v>0</v>
      </c>
      <c r="D66" s="132">
        <f>C66-B66</f>
        <v>0</v>
      </c>
      <c r="E66" s="124">
        <f t="shared" si="11"/>
        <v>0</v>
      </c>
      <c r="F66" s="194">
        <f t="shared" si="10"/>
        <v>0</v>
      </c>
      <c r="G66" s="126">
        <f t="shared" si="9"/>
        <v>0</v>
      </c>
      <c r="H66" s="137" t="s">
        <v>83</v>
      </c>
      <c r="I66" s="186"/>
      <c r="J66" s="185"/>
    </row>
    <row r="67" spans="1:13" ht="13.5" customHeight="1">
      <c r="A67" s="230" t="s">
        <v>89</v>
      </c>
      <c r="B67" s="132">
        <v>1974600</v>
      </c>
      <c r="C67" s="190">
        <v>3682200</v>
      </c>
      <c r="D67" s="126">
        <f t="shared" si="8"/>
        <v>1707600</v>
      </c>
      <c r="E67" s="143">
        <f>B67+1200000</f>
        <v>3174600</v>
      </c>
      <c r="F67" s="184">
        <f t="shared" si="10"/>
        <v>3682200</v>
      </c>
      <c r="G67" s="126">
        <f t="shared" si="9"/>
        <v>507600</v>
      </c>
      <c r="H67" s="137" t="s">
        <v>45</v>
      </c>
      <c r="I67" s="186"/>
      <c r="J67" s="185"/>
    </row>
    <row r="68" spans="1:13" ht="13.5" customHeight="1" thickBot="1">
      <c r="A68" s="201" t="s">
        <v>90</v>
      </c>
      <c r="B68" s="233">
        <v>11597800</v>
      </c>
      <c r="C68" s="93">
        <v>15342500</v>
      </c>
      <c r="D68" s="202">
        <f t="shared" si="8"/>
        <v>3744700</v>
      </c>
      <c r="E68" s="182">
        <f>B68+11640000</f>
        <v>23237800</v>
      </c>
      <c r="F68" s="208">
        <f t="shared" si="10"/>
        <v>15342500</v>
      </c>
      <c r="G68" s="126">
        <f t="shared" si="9"/>
        <v>-7895300</v>
      </c>
      <c r="H68" s="137" t="s">
        <v>160</v>
      </c>
      <c r="I68" s="186"/>
      <c r="J68" s="185"/>
      <c r="M68" s="50" t="s">
        <v>91</v>
      </c>
    </row>
    <row r="69" spans="1:13" ht="13.5" customHeight="1" thickBot="1">
      <c r="A69" s="165" t="s">
        <v>61</v>
      </c>
      <c r="B69" s="234">
        <f>SUM(B60:B68)</f>
        <v>24022501</v>
      </c>
      <c r="C69" s="167">
        <f>SUM(C61:C68)</f>
        <v>157107200</v>
      </c>
      <c r="D69" s="212"/>
      <c r="E69" s="235">
        <f>SUM(E61:E68)</f>
        <v>45790981</v>
      </c>
      <c r="F69" s="170">
        <f>SUM(F61:F68)</f>
        <v>157107200</v>
      </c>
      <c r="G69" s="171"/>
      <c r="H69" s="172"/>
      <c r="I69" s="173"/>
      <c r="J69" s="174"/>
    </row>
    <row r="70" spans="1:13" ht="13.5" customHeight="1">
      <c r="A70" s="175"/>
      <c r="B70" s="176"/>
      <c r="C70" s="176"/>
      <c r="D70" s="177"/>
      <c r="E70" s="177"/>
      <c r="F70" s="178"/>
      <c r="G70" s="177"/>
      <c r="H70" s="179"/>
      <c r="I70" s="180"/>
      <c r="J70" s="179"/>
    </row>
    <row r="71" spans="1:13" ht="13.5" customHeight="1">
      <c r="A71" s="236" t="s">
        <v>92</v>
      </c>
      <c r="B71" s="182"/>
      <c r="C71" s="71"/>
      <c r="D71" s="183"/>
      <c r="E71" s="182"/>
      <c r="F71"/>
      <c r="G71" s="183"/>
      <c r="H71" s="185"/>
      <c r="I71" s="186"/>
      <c r="J71" s="185"/>
    </row>
    <row r="72" spans="1:13" ht="13.5" customHeight="1">
      <c r="A72" s="131" t="s">
        <v>93</v>
      </c>
      <c r="B72" s="237">
        <v>0</v>
      </c>
      <c r="C72" s="182">
        <v>0</v>
      </c>
      <c r="D72" s="126">
        <f>C72-B72</f>
        <v>0</v>
      </c>
      <c r="E72" s="189"/>
      <c r="F72" s="184">
        <f>C72</f>
        <v>0</v>
      </c>
      <c r="G72" s="126">
        <f t="shared" ref="G72:G77" si="12">F72-E72</f>
        <v>0</v>
      </c>
      <c r="H72" s="137" t="s">
        <v>94</v>
      </c>
      <c r="I72" s="186"/>
      <c r="J72" s="185"/>
    </row>
    <row r="73" spans="1:13" ht="13.5" customHeight="1">
      <c r="A73" s="131" t="s">
        <v>95</v>
      </c>
      <c r="B73" s="132">
        <v>18292448</v>
      </c>
      <c r="C73" s="190">
        <v>105151300</v>
      </c>
      <c r="D73" s="126">
        <f>C73-B73</f>
        <v>86858852</v>
      </c>
      <c r="E73" s="182">
        <f>B73+459700</f>
        <v>18752148</v>
      </c>
      <c r="F73" s="184">
        <f t="shared" ref="F73:F77" si="13">C73</f>
        <v>105151300</v>
      </c>
      <c r="G73" s="126">
        <f t="shared" si="12"/>
        <v>86399152</v>
      </c>
      <c r="H73" s="137" t="s">
        <v>45</v>
      </c>
      <c r="I73" s="186"/>
      <c r="J73" s="185"/>
    </row>
    <row r="74" spans="1:13" ht="13.5" customHeight="1">
      <c r="A74" s="131" t="s">
        <v>96</v>
      </c>
      <c r="B74" s="132">
        <v>0</v>
      </c>
      <c r="C74" s="190">
        <v>46027500</v>
      </c>
      <c r="D74" s="126">
        <f t="shared" ref="D74:D77" si="14">C74-B74</f>
        <v>46027500</v>
      </c>
      <c r="E74" s="182">
        <f>B74+10720452.6</f>
        <v>10720452.6</v>
      </c>
      <c r="F74" s="184">
        <f t="shared" si="13"/>
        <v>46027500</v>
      </c>
      <c r="G74" s="126">
        <f t="shared" si="12"/>
        <v>35307047.399999999</v>
      </c>
      <c r="H74" s="137" t="s">
        <v>45</v>
      </c>
      <c r="I74" s="186"/>
      <c r="J74" s="185"/>
    </row>
    <row r="75" spans="1:13" ht="13.5" customHeight="1">
      <c r="A75" s="131" t="s">
        <v>97</v>
      </c>
      <c r="B75" s="132">
        <v>0</v>
      </c>
      <c r="C75" s="190">
        <v>24548000</v>
      </c>
      <c r="D75" s="126">
        <f t="shared" si="14"/>
        <v>24548000</v>
      </c>
      <c r="E75" s="182">
        <f>B75+0</f>
        <v>0</v>
      </c>
      <c r="F75" s="184">
        <f t="shared" si="13"/>
        <v>24548000</v>
      </c>
      <c r="G75" s="126">
        <f t="shared" si="12"/>
        <v>24548000</v>
      </c>
      <c r="H75" s="137" t="s">
        <v>45</v>
      </c>
      <c r="I75" s="186"/>
      <c r="J75" s="185"/>
    </row>
    <row r="76" spans="1:13" ht="13.5" customHeight="1">
      <c r="A76" s="131" t="s">
        <v>98</v>
      </c>
      <c r="B76" s="124">
        <v>54442.65</v>
      </c>
      <c r="C76" s="71">
        <v>2373900</v>
      </c>
      <c r="D76" s="126">
        <f t="shared" si="14"/>
        <v>2319457.35</v>
      </c>
      <c r="E76" s="182">
        <f>B76+50299.89</f>
        <v>104742.54000000001</v>
      </c>
      <c r="F76" s="184">
        <f t="shared" si="13"/>
        <v>2373900</v>
      </c>
      <c r="G76" s="126">
        <f t="shared" si="12"/>
        <v>2269157.46</v>
      </c>
      <c r="H76" s="137" t="s">
        <v>45</v>
      </c>
      <c r="I76" s="186"/>
      <c r="J76" s="185"/>
    </row>
    <row r="77" spans="1:13" ht="13.5" customHeight="1" thickBot="1">
      <c r="A77" s="201" t="s">
        <v>99</v>
      </c>
      <c r="B77" s="127">
        <v>800000</v>
      </c>
      <c r="C77" s="202">
        <v>613700</v>
      </c>
      <c r="D77" s="126">
        <f t="shared" si="14"/>
        <v>-186300</v>
      </c>
      <c r="E77" s="182">
        <f>B77+0</f>
        <v>800000</v>
      </c>
      <c r="F77" s="208">
        <f t="shared" si="13"/>
        <v>613700</v>
      </c>
      <c r="G77" s="126">
        <f t="shared" si="12"/>
        <v>-186300</v>
      </c>
      <c r="H77" s="137" t="s">
        <v>160</v>
      </c>
      <c r="I77" s="186"/>
      <c r="J77" s="185"/>
    </row>
    <row r="78" spans="1:13" ht="13.5" customHeight="1" thickBot="1">
      <c r="A78" s="165" t="s">
        <v>61</v>
      </c>
      <c r="B78" s="238">
        <f>SUM(B71:B77)</f>
        <v>19146890.649999999</v>
      </c>
      <c r="C78" s="239">
        <f>SUM(C72:C77)</f>
        <v>178714400</v>
      </c>
      <c r="D78" s="168"/>
      <c r="E78" s="213">
        <f>SUM(E72:E77)</f>
        <v>30377343.140000001</v>
      </c>
      <c r="F78" s="170">
        <f>SUM(F71:F77)</f>
        <v>178714400</v>
      </c>
      <c r="G78" s="171"/>
      <c r="H78" s="172"/>
      <c r="I78" s="173"/>
      <c r="J78" s="174"/>
    </row>
    <row r="79" spans="1:13" ht="13.5" customHeight="1" thickBot="1">
      <c r="A79" s="240"/>
      <c r="B79" s="176">
        <v>0</v>
      </c>
      <c r="C79" s="241"/>
      <c r="D79" s="242"/>
      <c r="E79" s="177"/>
      <c r="F79" s="243"/>
      <c r="G79" s="177"/>
      <c r="H79" s="179"/>
      <c r="I79" s="180"/>
      <c r="J79" s="179"/>
    </row>
    <row r="80" spans="1:13" ht="13.5" customHeight="1" thickBot="1">
      <c r="A80" s="236" t="s">
        <v>100</v>
      </c>
      <c r="B80" s="244">
        <f>B78+B69+B58+B53+B36</f>
        <v>91669152.969999999</v>
      </c>
      <c r="C80" s="245">
        <f>C78+C69+C58+C53+C36</f>
        <v>775291800</v>
      </c>
      <c r="D80" s="246"/>
      <c r="E80" s="245">
        <f>E69+E58+E53+E36+E78</f>
        <v>218804613.94999999</v>
      </c>
      <c r="F80" s="247">
        <f>F36+F53+F58+F69+F78</f>
        <v>775291800</v>
      </c>
      <c r="G80" s="225"/>
      <c r="H80" s="172"/>
      <c r="I80" s="173"/>
      <c r="J80" s="174"/>
    </row>
    <row r="83" spans="1:9" ht="12.75" customHeight="1">
      <c r="B83" s="189"/>
    </row>
    <row r="84" spans="1:9" ht="12.75" customHeight="1">
      <c r="A84" t="s">
        <v>101</v>
      </c>
      <c r="B84" s="71"/>
      <c r="C84" s="71"/>
      <c r="E84" s="71"/>
      <c r="F84"/>
      <c r="I84"/>
    </row>
    <row r="85" spans="1:9" ht="12.75" customHeight="1">
      <c r="A85" t="s">
        <v>102</v>
      </c>
      <c r="B85" s="71"/>
      <c r="C85" s="71"/>
      <c r="E85" s="71"/>
      <c r="F85"/>
      <c r="I85"/>
    </row>
  </sheetData>
  <mergeCells count="9">
    <mergeCell ref="B18:D18"/>
    <mergeCell ref="E18:G18"/>
    <mergeCell ref="A8:I8"/>
    <mergeCell ref="A9:I9"/>
    <mergeCell ref="A10:I10"/>
    <mergeCell ref="A11:I11"/>
    <mergeCell ref="A12:I12"/>
    <mergeCell ref="B17:D17"/>
    <mergeCell ref="E17:G17"/>
  </mergeCells>
  <pageMargins left="0.51181102362204722" right="0.74803149606299213" top="0.43307086614173229" bottom="0.35433070866141736" header="0.51181102362204722" footer="0.51181102362204722"/>
  <pageSetup paperSize="9" scale="75"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B6354-42A8-4562-9D09-6EC3642B819E}">
  <dimension ref="A3:D29"/>
  <sheetViews>
    <sheetView topLeftCell="A7" workbookViewId="0">
      <selection activeCell="D20" sqref="D20"/>
    </sheetView>
  </sheetViews>
  <sheetFormatPr defaultRowHeight="12.75"/>
  <cols>
    <col min="1" max="1" width="67.7109375" style="249" customWidth="1"/>
    <col min="2" max="3" width="17.28515625" style="249" customWidth="1"/>
    <col min="4" max="4" width="23.7109375" style="249" customWidth="1"/>
    <col min="5" max="16384" width="9.140625" style="249"/>
  </cols>
  <sheetData>
    <row r="3" spans="1:4" ht="15.75">
      <c r="A3" s="248"/>
    </row>
    <row r="4" spans="1:4">
      <c r="A4" s="250"/>
      <c r="B4" s="251"/>
      <c r="C4" s="251"/>
      <c r="D4" s="252"/>
    </row>
    <row r="5" spans="1:4">
      <c r="A5" s="336"/>
      <c r="B5" s="337"/>
      <c r="C5" s="337"/>
      <c r="D5" s="338"/>
    </row>
    <row r="6" spans="1:4">
      <c r="A6" s="336" t="s">
        <v>28</v>
      </c>
      <c r="B6" s="337"/>
      <c r="C6" s="337"/>
      <c r="D6" s="338"/>
    </row>
    <row r="7" spans="1:4" ht="15">
      <c r="A7" s="339" t="s">
        <v>103</v>
      </c>
      <c r="B7" s="340"/>
      <c r="C7" s="340"/>
      <c r="D7" s="341"/>
    </row>
    <row r="8" spans="1:4">
      <c r="A8" s="336" t="s">
        <v>104</v>
      </c>
      <c r="B8" s="337"/>
      <c r="C8" s="337"/>
      <c r="D8" s="338"/>
    </row>
    <row r="9" spans="1:4">
      <c r="A9" s="342" t="s">
        <v>152</v>
      </c>
      <c r="B9" s="343"/>
      <c r="C9" s="343"/>
      <c r="D9" s="344"/>
    </row>
    <row r="13" spans="1:4">
      <c r="A13" s="253"/>
      <c r="B13" s="253"/>
      <c r="C13" s="253"/>
      <c r="D13" s="254"/>
    </row>
    <row r="14" spans="1:4">
      <c r="A14" s="255"/>
      <c r="B14" s="255"/>
      <c r="C14" s="256" t="s">
        <v>24</v>
      </c>
      <c r="D14" s="256" t="s">
        <v>24</v>
      </c>
    </row>
    <row r="15" spans="1:4" ht="39.75" customHeight="1">
      <c r="A15" s="257" t="s">
        <v>105</v>
      </c>
      <c r="B15" s="258" t="s">
        <v>153</v>
      </c>
      <c r="C15" s="259" t="s">
        <v>154</v>
      </c>
      <c r="D15" s="260" t="s">
        <v>155</v>
      </c>
    </row>
    <row r="16" spans="1:4">
      <c r="A16" s="261"/>
      <c r="B16" s="262"/>
      <c r="C16" s="262"/>
      <c r="D16" s="262"/>
    </row>
    <row r="17" spans="1:4">
      <c r="A17" s="263"/>
      <c r="B17" s="264"/>
      <c r="C17" s="264"/>
      <c r="D17" s="264"/>
    </row>
    <row r="18" spans="1:4">
      <c r="A18" s="265" t="s">
        <v>106</v>
      </c>
      <c r="B18" s="266">
        <v>426808121.68000001</v>
      </c>
      <c r="C18" s="266">
        <f>391228246.81+B18</f>
        <v>818036368.49000001</v>
      </c>
      <c r="D18" s="267">
        <f>3351559469.38+391228246.81+426808121.68</f>
        <v>4169595837.8699999</v>
      </c>
    </row>
    <row r="19" spans="1:4">
      <c r="A19" s="263"/>
      <c r="B19" s="264"/>
      <c r="C19" s="264"/>
      <c r="D19" s="264"/>
    </row>
    <row r="20" spans="1:4">
      <c r="A20" s="263"/>
      <c r="B20" s="264"/>
      <c r="C20" s="264"/>
      <c r="D20" s="264"/>
    </row>
    <row r="21" spans="1:4">
      <c r="A21" s="265" t="s">
        <v>107</v>
      </c>
      <c r="B21" s="268">
        <v>47547967.68</v>
      </c>
      <c r="C21" s="269">
        <f>45969324.61+B21</f>
        <v>93517292.289999992</v>
      </c>
      <c r="D21" s="266">
        <f>494521881.94+45969324.61+47547967.68</f>
        <v>588039174.2299999</v>
      </c>
    </row>
    <row r="22" spans="1:4">
      <c r="B22" s="270"/>
      <c r="C22" s="270"/>
      <c r="D22" s="264"/>
    </row>
    <row r="23" spans="1:4" ht="13.5" thickBot="1">
      <c r="A23" s="271"/>
      <c r="B23" s="270"/>
      <c r="C23" s="270"/>
      <c r="D23" s="264"/>
    </row>
    <row r="24" spans="1:4" ht="13.5" thickBot="1">
      <c r="A24" s="272"/>
      <c r="B24" s="273"/>
      <c r="C24" s="273"/>
      <c r="D24" s="273"/>
    </row>
    <row r="25" spans="1:4" ht="13.5" thickBot="1">
      <c r="A25" s="274" t="s">
        <v>108</v>
      </c>
      <c r="B25" s="275">
        <f>SUM(B18:B24)</f>
        <v>474356089.36000001</v>
      </c>
      <c r="C25" s="275">
        <f>SUM(C18:C24)</f>
        <v>911553660.77999997</v>
      </c>
      <c r="D25" s="276">
        <f>SUM(D18:D24)</f>
        <v>4757635012.0999994</v>
      </c>
    </row>
    <row r="26" spans="1:4">
      <c r="A26" s="277"/>
      <c r="B26" s="278"/>
      <c r="C26" s="278"/>
      <c r="D26" s="278"/>
    </row>
    <row r="29" spans="1:4">
      <c r="A29" s="249" t="s">
        <v>109</v>
      </c>
    </row>
  </sheetData>
  <mergeCells count="5">
    <mergeCell ref="A5:D5"/>
    <mergeCell ref="A6:D6"/>
    <mergeCell ref="A7:D7"/>
    <mergeCell ref="A8:D8"/>
    <mergeCell ref="A9:D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15E9C-EC75-4EA5-B047-DA31CD7F405D}">
  <dimension ref="C1:H47"/>
  <sheetViews>
    <sheetView topLeftCell="A22" workbookViewId="0">
      <selection activeCell="E28" sqref="E28"/>
    </sheetView>
  </sheetViews>
  <sheetFormatPr defaultRowHeight="12.75"/>
  <cols>
    <col min="1" max="1" width="4.42578125" style="249" customWidth="1"/>
    <col min="2" max="2" width="4.5703125" style="249" customWidth="1"/>
    <col min="3" max="3" width="36.140625" style="249" customWidth="1"/>
    <col min="4" max="4" width="46.5703125" style="249" customWidth="1"/>
    <col min="5" max="5" width="49.28515625" style="249" customWidth="1"/>
    <col min="6" max="6" width="14" style="279" customWidth="1"/>
    <col min="7" max="7" width="14.28515625" style="279" customWidth="1"/>
    <col min="8" max="8" width="12.7109375" style="279" customWidth="1"/>
    <col min="9" max="16384" width="9.140625" style="249"/>
  </cols>
  <sheetData>
    <row r="1" spans="3:8">
      <c r="H1" s="280"/>
    </row>
    <row r="2" spans="3:8">
      <c r="C2" s="337"/>
      <c r="D2" s="337"/>
      <c r="E2" s="337"/>
      <c r="H2" s="280"/>
    </row>
    <row r="3" spans="3:8">
      <c r="C3" s="336" t="s">
        <v>110</v>
      </c>
      <c r="D3" s="337"/>
      <c r="E3" s="337"/>
      <c r="F3" s="337"/>
      <c r="G3" s="337"/>
      <c r="H3" s="338"/>
    </row>
    <row r="4" spans="3:8" ht="15">
      <c r="C4" s="339" t="s">
        <v>103</v>
      </c>
      <c r="D4" s="340"/>
      <c r="E4" s="340"/>
      <c r="F4" s="340"/>
      <c r="G4" s="340"/>
      <c r="H4" s="341"/>
    </row>
    <row r="5" spans="3:8" ht="15">
      <c r="C5" s="339" t="s">
        <v>111</v>
      </c>
      <c r="D5" s="340"/>
      <c r="E5" s="340"/>
      <c r="F5" s="340"/>
      <c r="G5" s="340"/>
      <c r="H5" s="341"/>
    </row>
    <row r="6" spans="3:8" ht="15">
      <c r="C6" s="281"/>
      <c r="D6" s="282"/>
      <c r="E6" s="282"/>
      <c r="F6" s="283"/>
      <c r="G6" s="283"/>
      <c r="H6" s="284"/>
    </row>
    <row r="7" spans="3:8" s="287" customFormat="1" ht="36">
      <c r="C7" s="285" t="s">
        <v>112</v>
      </c>
      <c r="D7" s="285" t="s">
        <v>113</v>
      </c>
      <c r="E7" s="285" t="s">
        <v>114</v>
      </c>
      <c r="F7" s="286" t="s">
        <v>115</v>
      </c>
      <c r="G7" s="286" t="s">
        <v>116</v>
      </c>
      <c r="H7" s="286" t="s">
        <v>117</v>
      </c>
    </row>
    <row r="8" spans="3:8" ht="72" customHeight="1" thickBot="1">
      <c r="C8" s="288" t="s">
        <v>118</v>
      </c>
      <c r="D8" s="288" t="s">
        <v>119</v>
      </c>
      <c r="E8" s="288" t="s">
        <v>120</v>
      </c>
      <c r="F8" s="289">
        <v>530000</v>
      </c>
      <c r="G8" s="290">
        <v>530000</v>
      </c>
      <c r="H8" s="289">
        <f>F8-G8</f>
        <v>0</v>
      </c>
    </row>
    <row r="9" spans="3:8" ht="36" customHeight="1" thickBot="1">
      <c r="C9" s="348" t="s">
        <v>121</v>
      </c>
      <c r="D9" s="291" t="s">
        <v>122</v>
      </c>
      <c r="E9" s="292" t="s">
        <v>123</v>
      </c>
      <c r="F9" s="293">
        <v>100000</v>
      </c>
      <c r="G9" s="294">
        <v>100000</v>
      </c>
      <c r="H9" s="293">
        <f t="shared" ref="H9:H25" si="0">F9-G9</f>
        <v>0</v>
      </c>
    </row>
    <row r="10" spans="3:8" ht="45.75" thickBot="1">
      <c r="C10" s="348"/>
      <c r="D10" s="295" t="s">
        <v>124</v>
      </c>
      <c r="E10" s="296" t="s">
        <v>125</v>
      </c>
      <c r="F10" s="297">
        <v>200000</v>
      </c>
      <c r="G10" s="298">
        <v>200000</v>
      </c>
      <c r="H10" s="297">
        <f t="shared" si="0"/>
        <v>0</v>
      </c>
    </row>
    <row r="11" spans="3:8" ht="30.75" thickBot="1">
      <c r="C11" s="348"/>
      <c r="D11" s="295" t="s">
        <v>126</v>
      </c>
      <c r="E11" s="296" t="s">
        <v>127</v>
      </c>
      <c r="F11" s="297">
        <v>100000</v>
      </c>
      <c r="G11" s="298">
        <v>100000</v>
      </c>
      <c r="H11" s="297">
        <f t="shared" si="0"/>
        <v>0</v>
      </c>
    </row>
    <row r="12" spans="3:8" ht="31.5" customHeight="1" thickBot="1">
      <c r="C12" s="348"/>
      <c r="D12" s="295" t="s">
        <v>128</v>
      </c>
      <c r="E12" s="296" t="s">
        <v>129</v>
      </c>
      <c r="F12" s="297">
        <v>210000</v>
      </c>
      <c r="G12" s="298">
        <v>87100</v>
      </c>
      <c r="H12" s="297">
        <f t="shared" si="0"/>
        <v>122900</v>
      </c>
    </row>
    <row r="13" spans="3:8" ht="43.5" customHeight="1">
      <c r="C13" s="348"/>
      <c r="D13" s="348" t="s">
        <v>130</v>
      </c>
      <c r="E13" s="299" t="s">
        <v>131</v>
      </c>
      <c r="F13" s="350">
        <v>510000</v>
      </c>
      <c r="G13" s="352">
        <v>130000</v>
      </c>
      <c r="H13" s="350">
        <f t="shared" si="0"/>
        <v>380000</v>
      </c>
    </row>
    <row r="14" spans="3:8" ht="18.75" customHeight="1" thickBot="1">
      <c r="C14" s="348"/>
      <c r="D14" s="349"/>
      <c r="E14" s="288" t="s">
        <v>132</v>
      </c>
      <c r="F14" s="351"/>
      <c r="G14" s="353"/>
      <c r="H14" s="351"/>
    </row>
    <row r="15" spans="3:8" ht="45.75" thickBot="1">
      <c r="C15" s="348"/>
      <c r="D15" s="295" t="s">
        <v>133</v>
      </c>
      <c r="E15" s="296" t="s">
        <v>134</v>
      </c>
      <c r="F15" s="297">
        <v>540000</v>
      </c>
      <c r="G15" s="298">
        <v>540000</v>
      </c>
      <c r="H15" s="297">
        <f t="shared" si="0"/>
        <v>0</v>
      </c>
    </row>
    <row r="16" spans="3:8" ht="28.5" customHeight="1" thickBot="1">
      <c r="C16" s="348"/>
      <c r="D16" s="295" t="s">
        <v>135</v>
      </c>
      <c r="E16" s="296" t="s">
        <v>136</v>
      </c>
      <c r="F16" s="297">
        <v>150000</v>
      </c>
      <c r="G16" s="298">
        <v>150000</v>
      </c>
      <c r="H16" s="297">
        <f t="shared" si="0"/>
        <v>0</v>
      </c>
    </row>
    <row r="17" spans="3:8" ht="60">
      <c r="C17" s="348"/>
      <c r="D17" s="348" t="s">
        <v>137</v>
      </c>
      <c r="E17" s="300" t="s">
        <v>138</v>
      </c>
      <c r="F17" s="284">
        <v>252500</v>
      </c>
      <c r="G17" s="301">
        <v>252500</v>
      </c>
      <c r="H17" s="284">
        <f t="shared" si="0"/>
        <v>0</v>
      </c>
    </row>
    <row r="18" spans="3:8" ht="90">
      <c r="C18" s="348"/>
      <c r="D18" s="348"/>
      <c r="E18" s="302" t="s">
        <v>139</v>
      </c>
      <c r="F18" s="303">
        <v>252500</v>
      </c>
      <c r="G18" s="304">
        <v>252500</v>
      </c>
      <c r="H18" s="303">
        <f t="shared" si="0"/>
        <v>0</v>
      </c>
    </row>
    <row r="19" spans="3:8" ht="45">
      <c r="C19" s="348"/>
      <c r="D19" s="348"/>
      <c r="E19" s="302" t="s">
        <v>140</v>
      </c>
      <c r="F19" s="303">
        <v>252500</v>
      </c>
      <c r="G19" s="304">
        <v>252500</v>
      </c>
      <c r="H19" s="303">
        <f t="shared" si="0"/>
        <v>0</v>
      </c>
    </row>
    <row r="20" spans="3:8" ht="99" customHeight="1" thickBot="1">
      <c r="C20" s="349"/>
      <c r="D20" s="349"/>
      <c r="E20" s="288" t="s">
        <v>141</v>
      </c>
      <c r="F20" s="289">
        <v>112500</v>
      </c>
      <c r="G20" s="305">
        <v>112500</v>
      </c>
      <c r="H20" s="289">
        <f t="shared" si="0"/>
        <v>0</v>
      </c>
    </row>
    <row r="21" spans="3:8" ht="19.5" customHeight="1">
      <c r="C21" s="345" t="s">
        <v>142</v>
      </c>
      <c r="D21" s="299" t="s">
        <v>143</v>
      </c>
      <c r="E21" s="299" t="s">
        <v>144</v>
      </c>
      <c r="F21" s="306">
        <v>16250</v>
      </c>
      <c r="G21" s="306">
        <v>16250</v>
      </c>
      <c r="H21" s="284">
        <f t="shared" si="0"/>
        <v>0</v>
      </c>
    </row>
    <row r="22" spans="3:8" ht="27.75" customHeight="1">
      <c r="C22" s="346"/>
      <c r="D22" s="302" t="s">
        <v>145</v>
      </c>
      <c r="E22" s="302" t="s">
        <v>144</v>
      </c>
      <c r="F22" s="266">
        <v>16250</v>
      </c>
      <c r="G22" s="266">
        <v>16250</v>
      </c>
      <c r="H22" s="303">
        <f t="shared" si="0"/>
        <v>0</v>
      </c>
    </row>
    <row r="23" spans="3:8" ht="18.75" customHeight="1">
      <c r="C23" s="346"/>
      <c r="D23" s="302" t="s">
        <v>146</v>
      </c>
      <c r="E23" s="302" t="s">
        <v>144</v>
      </c>
      <c r="F23" s="266">
        <v>16250</v>
      </c>
      <c r="G23" s="266">
        <v>16250</v>
      </c>
      <c r="H23" s="303">
        <f t="shared" si="0"/>
        <v>0</v>
      </c>
    </row>
    <row r="24" spans="3:8" ht="15.75" thickBot="1">
      <c r="C24" s="347"/>
      <c r="D24" s="288" t="s">
        <v>147</v>
      </c>
      <c r="E24" s="288" t="s">
        <v>144</v>
      </c>
      <c r="F24" s="307">
        <v>16250</v>
      </c>
      <c r="G24" s="307">
        <v>16250</v>
      </c>
      <c r="H24" s="289">
        <f t="shared" si="0"/>
        <v>0</v>
      </c>
    </row>
    <row r="25" spans="3:8" ht="15.75" thickBot="1">
      <c r="C25" s="308" t="s">
        <v>148</v>
      </c>
      <c r="D25" s="296" t="s">
        <v>149</v>
      </c>
      <c r="E25" s="296" t="s">
        <v>150</v>
      </c>
      <c r="F25" s="309">
        <v>32500</v>
      </c>
      <c r="G25" s="310">
        <v>32500</v>
      </c>
      <c r="H25" s="284">
        <f t="shared" si="0"/>
        <v>0</v>
      </c>
    </row>
    <row r="26" spans="3:8" ht="19.5" customHeight="1">
      <c r="D26" s="311"/>
      <c r="E26" s="311"/>
    </row>
    <row r="27" spans="3:8" ht="12.75" customHeight="1">
      <c r="C27" s="249" t="s">
        <v>151</v>
      </c>
      <c r="D27" s="311"/>
      <c r="E27" s="311"/>
    </row>
    <row r="28" spans="3:8" ht="62.25" customHeight="1">
      <c r="G28" s="312"/>
    </row>
    <row r="29" spans="3:8" ht="57.75" customHeight="1"/>
    <row r="30" spans="3:8" ht="60.75" customHeight="1"/>
    <row r="31" spans="3:8" ht="47.25" customHeight="1"/>
    <row r="32" spans="3:8" ht="60.75" customHeight="1"/>
    <row r="36" ht="30.75" customHeight="1"/>
    <row r="37" ht="44.25" customHeight="1"/>
    <row r="38" ht="62.25" customHeight="1"/>
    <row r="42" ht="44.25" customHeight="1"/>
    <row r="43" ht="78.75" customHeight="1"/>
    <row r="45" ht="12.75" customHeight="1"/>
    <row r="46" ht="12.75" customHeight="1"/>
    <row r="47" ht="13.5" customHeight="1"/>
  </sheetData>
  <mergeCells count="11">
    <mergeCell ref="C21:C24"/>
    <mergeCell ref="C2:E2"/>
    <mergeCell ref="C3:H3"/>
    <mergeCell ref="C4:H4"/>
    <mergeCell ref="C5:H5"/>
    <mergeCell ref="C9:C20"/>
    <mergeCell ref="D13:D14"/>
    <mergeCell ref="F13:F14"/>
    <mergeCell ref="G13:G14"/>
    <mergeCell ref="H13:H14"/>
    <mergeCell ref="D17:D2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Sources and Uses of funds </vt:lpstr>
      <vt:lpstr>Uses of Funds as per PIM</vt:lpstr>
      <vt:lpstr>EEP Statement </vt:lpstr>
      <vt:lpstr>DLI Statement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Abhuohien Ebewele</dc:creator>
  <cp:lastModifiedBy>Abhuohien Ebewele</cp:lastModifiedBy>
  <cp:lastPrinted>2020-01-09T13:54:47Z</cp:lastPrinted>
  <dcterms:created xsi:type="dcterms:W3CDTF">2020-01-06T08:02:29Z</dcterms:created>
  <dcterms:modified xsi:type="dcterms:W3CDTF">2020-01-20T13:46:32Z</dcterms:modified>
</cp:coreProperties>
</file>